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\Documents\Debt\"/>
    </mc:Choice>
  </mc:AlternateContent>
  <xr:revisionPtr revIDLastSave="0" documentId="13_ncr:1_{B3160C18-96C2-4B14-9121-2E6583B64C1E}" xr6:coauthVersionLast="47" xr6:coauthVersionMax="47" xr10:uidLastSave="{00000000-0000-0000-0000-000000000000}"/>
  <bookViews>
    <workbookView xWindow="-120" yWindow="-120" windowWidth="29040" windowHeight="15840" tabRatio="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5" i="1" l="1"/>
  <c r="U125" i="1"/>
  <c r="N125" i="1"/>
  <c r="K125" i="1"/>
  <c r="V54" i="1"/>
  <c r="T54" i="1"/>
  <c r="S54" i="1"/>
  <c r="R54" i="1"/>
  <c r="Q54" i="1"/>
  <c r="P54" i="1"/>
  <c r="O54" i="1"/>
  <c r="M54" i="1"/>
  <c r="L54" i="1"/>
  <c r="J54" i="1"/>
  <c r="I54" i="1"/>
  <c r="H54" i="1"/>
  <c r="G54" i="1"/>
  <c r="F54" i="1"/>
  <c r="E54" i="1"/>
  <c r="D54" i="1"/>
  <c r="C54" i="1"/>
  <c r="W126" i="1"/>
  <c r="W52" i="1" s="1"/>
  <c r="U122" i="1"/>
  <c r="U123" i="1" s="1"/>
  <c r="U124" i="1" s="1"/>
  <c r="N122" i="1"/>
  <c r="N123" i="1" s="1"/>
  <c r="N124" i="1" s="1"/>
  <c r="U132" i="1"/>
  <c r="U131" i="1"/>
  <c r="U130" i="1"/>
  <c r="N132" i="1"/>
  <c r="N131" i="1"/>
  <c r="N130" i="1"/>
  <c r="K132" i="1"/>
  <c r="K131" i="1"/>
  <c r="K130" i="1"/>
  <c r="U120" i="1"/>
  <c r="N120" i="1"/>
  <c r="K120" i="1"/>
  <c r="U118" i="1"/>
  <c r="N118" i="1"/>
  <c r="K118" i="1"/>
  <c r="U115" i="1"/>
  <c r="N115" i="1"/>
  <c r="K115" i="1"/>
  <c r="N113" i="1"/>
  <c r="N114" i="1" s="1"/>
  <c r="N135" i="1" s="1"/>
  <c r="N136" i="1" s="1"/>
  <c r="K113" i="1"/>
  <c r="V52" i="1"/>
  <c r="S52" i="1"/>
  <c r="P52" i="1"/>
  <c r="M52" i="1"/>
  <c r="L52" i="1"/>
  <c r="J52" i="1"/>
  <c r="I52" i="1"/>
  <c r="V51" i="1"/>
  <c r="U51" i="1"/>
  <c r="S51" i="1"/>
  <c r="P51" i="1"/>
  <c r="N51" i="1"/>
  <c r="M51" i="1"/>
  <c r="L51" i="1"/>
  <c r="K51" i="1"/>
  <c r="J51" i="1"/>
  <c r="I51" i="1"/>
  <c r="W132" i="1"/>
  <c r="T132" i="1"/>
  <c r="R132" i="1"/>
  <c r="Q132" i="1"/>
  <c r="O132" i="1"/>
  <c r="H132" i="1"/>
  <c r="G132" i="1"/>
  <c r="F132" i="1"/>
  <c r="E132" i="1"/>
  <c r="D132" i="1"/>
  <c r="C132" i="1"/>
  <c r="W131" i="1"/>
  <c r="W130" i="1"/>
  <c r="T131" i="1"/>
  <c r="T130" i="1"/>
  <c r="R131" i="1"/>
  <c r="Q131" i="1"/>
  <c r="R130" i="1"/>
  <c r="Q130" i="1"/>
  <c r="O131" i="1"/>
  <c r="O130" i="1"/>
  <c r="H131" i="1"/>
  <c r="G131" i="1"/>
  <c r="F131" i="1"/>
  <c r="E131" i="1"/>
  <c r="D131" i="1"/>
  <c r="H130" i="1"/>
  <c r="G130" i="1"/>
  <c r="F130" i="1"/>
  <c r="E130" i="1"/>
  <c r="D130" i="1"/>
  <c r="C130" i="1"/>
  <c r="C131" i="1"/>
  <c r="Q120" i="1"/>
  <c r="W120" i="1"/>
  <c r="T120" i="1"/>
  <c r="R120" i="1"/>
  <c r="O120" i="1"/>
  <c r="H120" i="1"/>
  <c r="G120" i="1"/>
  <c r="F120" i="1"/>
  <c r="E120" i="1"/>
  <c r="D120" i="1"/>
  <c r="C120" i="1"/>
  <c r="W118" i="1"/>
  <c r="T118" i="1"/>
  <c r="R118" i="1"/>
  <c r="Q118" i="1"/>
  <c r="O118" i="1"/>
  <c r="H118" i="1"/>
  <c r="G118" i="1"/>
  <c r="F118" i="1"/>
  <c r="E118" i="1"/>
  <c r="D118" i="1"/>
  <c r="C118" i="1"/>
  <c r="W109" i="1"/>
  <c r="W113" i="1" s="1"/>
  <c r="W114" i="1" s="1"/>
  <c r="W135" i="1" s="1"/>
  <c r="W136" i="1" s="1"/>
  <c r="V109" i="1"/>
  <c r="U109" i="1"/>
  <c r="T109" i="1"/>
  <c r="T113" i="1" s="1"/>
  <c r="S109" i="1"/>
  <c r="R109" i="1"/>
  <c r="R113" i="1" s="1"/>
  <c r="Q109" i="1"/>
  <c r="Q113" i="1" s="1"/>
  <c r="Q114" i="1" s="1"/>
  <c r="Q135" i="1" s="1"/>
  <c r="Q136" i="1" s="1"/>
  <c r="P109" i="1"/>
  <c r="O109" i="1"/>
  <c r="O113" i="1" s="1"/>
  <c r="N109" i="1"/>
  <c r="M109" i="1"/>
  <c r="L109" i="1"/>
  <c r="K109" i="1"/>
  <c r="K114" i="1" s="1"/>
  <c r="K135" i="1" s="1"/>
  <c r="K136" i="1" s="1"/>
  <c r="J109" i="1"/>
  <c r="I109" i="1"/>
  <c r="H109" i="1"/>
  <c r="H113" i="1" s="1"/>
  <c r="G109" i="1"/>
  <c r="G113" i="1" s="1"/>
  <c r="F109" i="1"/>
  <c r="F113" i="1" s="1"/>
  <c r="E109" i="1"/>
  <c r="E113" i="1" s="1"/>
  <c r="E114" i="1" s="1"/>
  <c r="D109" i="1"/>
  <c r="D113" i="1" s="1"/>
  <c r="C109" i="1"/>
  <c r="B109" i="1"/>
  <c r="O115" i="1"/>
  <c r="H115" i="1"/>
  <c r="G115" i="1"/>
  <c r="F115" i="1"/>
  <c r="E115" i="1"/>
  <c r="D115" i="1"/>
  <c r="C115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W95" i="1"/>
  <c r="W94" i="1"/>
  <c r="O93" i="1"/>
  <c r="W93" i="1"/>
  <c r="W33" i="1"/>
  <c r="W77" i="1"/>
  <c r="W21" i="1"/>
  <c r="W41" i="1" s="1"/>
  <c r="W7" i="1"/>
  <c r="W15" i="1" s="1"/>
  <c r="H33" i="1"/>
  <c r="G33" i="1"/>
  <c r="G21" i="1"/>
  <c r="G41" i="1" s="1"/>
  <c r="H21" i="1"/>
  <c r="H41" i="1" s="1"/>
  <c r="S21" i="1"/>
  <c r="S41" i="1" s="1"/>
  <c r="R21" i="1"/>
  <c r="R41" i="1" s="1"/>
  <c r="Q21" i="1"/>
  <c r="Q41" i="1" s="1"/>
  <c r="V33" i="1"/>
  <c r="U33" i="1"/>
  <c r="T33" i="1"/>
  <c r="S33" i="1"/>
  <c r="R33" i="1"/>
  <c r="Q33" i="1"/>
  <c r="P33" i="1"/>
  <c r="O33" i="1"/>
  <c r="N33" i="1"/>
  <c r="M33" i="1"/>
  <c r="L33" i="1"/>
  <c r="K33" i="1"/>
  <c r="F33" i="1"/>
  <c r="D33" i="1"/>
  <c r="D21" i="1"/>
  <c r="D41" i="1" s="1"/>
  <c r="E33" i="1"/>
  <c r="C33" i="1"/>
  <c r="U21" i="1"/>
  <c r="U41" i="1" s="1"/>
  <c r="T21" i="1"/>
  <c r="T41" i="1" s="1"/>
  <c r="O21" i="1"/>
  <c r="O41" i="1" s="1"/>
  <c r="N21" i="1"/>
  <c r="N41" i="1" s="1"/>
  <c r="K21" i="1"/>
  <c r="K41" i="1" s="1"/>
  <c r="F21" i="1"/>
  <c r="F41" i="1" s="1"/>
  <c r="E21" i="1"/>
  <c r="E41" i="1" s="1"/>
  <c r="C21" i="1"/>
  <c r="C41" i="1" s="1"/>
  <c r="S31" i="1"/>
  <c r="P31" i="1"/>
  <c r="Q31" i="1"/>
  <c r="R31" i="1"/>
  <c r="R95" i="1"/>
  <c r="R96" i="1" s="1"/>
  <c r="V77" i="1"/>
  <c r="I38" i="1"/>
  <c r="J38" i="1"/>
  <c r="F83" i="1"/>
  <c r="F95" i="1"/>
  <c r="F94" i="1"/>
  <c r="F93" i="1"/>
  <c r="O83" i="1"/>
  <c r="H83" i="1"/>
  <c r="G83" i="1"/>
  <c r="E83" i="1"/>
  <c r="D83" i="1"/>
  <c r="C83" i="1"/>
  <c r="T95" i="1"/>
  <c r="Q95" i="1"/>
  <c r="O95" i="1"/>
  <c r="H95" i="1"/>
  <c r="G95" i="1"/>
  <c r="E95" i="1"/>
  <c r="D95" i="1"/>
  <c r="C95" i="1"/>
  <c r="T94" i="1"/>
  <c r="Q94" i="1"/>
  <c r="O94" i="1"/>
  <c r="H94" i="1"/>
  <c r="G94" i="1"/>
  <c r="E94" i="1"/>
  <c r="D94" i="1"/>
  <c r="C94" i="1"/>
  <c r="Q93" i="1"/>
  <c r="T93" i="1"/>
  <c r="G93" i="1"/>
  <c r="E93" i="1"/>
  <c r="D93" i="1"/>
  <c r="C93" i="1"/>
  <c r="H93" i="1"/>
  <c r="U77" i="1"/>
  <c r="T77" i="1"/>
  <c r="T81" i="1" s="1"/>
  <c r="S77" i="1"/>
  <c r="R77" i="1"/>
  <c r="R81" i="1" s="1"/>
  <c r="Q77" i="1"/>
  <c r="Q81" i="1" s="1"/>
  <c r="P77" i="1"/>
  <c r="O77" i="1"/>
  <c r="O81" i="1" s="1"/>
  <c r="N77" i="1"/>
  <c r="M77" i="1"/>
  <c r="L77" i="1"/>
  <c r="K77" i="1"/>
  <c r="J77" i="1"/>
  <c r="I77" i="1"/>
  <c r="H77" i="1"/>
  <c r="H81" i="1" s="1"/>
  <c r="G77" i="1"/>
  <c r="G81" i="1" s="1"/>
  <c r="F77" i="1"/>
  <c r="F81" i="1" s="1"/>
  <c r="E77" i="1"/>
  <c r="E81" i="1" s="1"/>
  <c r="D77" i="1"/>
  <c r="D81" i="1" s="1"/>
  <c r="C77" i="1"/>
  <c r="C81" i="1" s="1"/>
  <c r="B77" i="1"/>
  <c r="V9" i="1"/>
  <c r="V8" i="1"/>
  <c r="V11" i="1"/>
  <c r="V10" i="1"/>
  <c r="U10" i="1"/>
  <c r="T10" i="1"/>
  <c r="U11" i="1"/>
  <c r="U9" i="1"/>
  <c r="U8" i="1"/>
  <c r="V7" i="1"/>
  <c r="U7" i="1"/>
  <c r="T7" i="1"/>
  <c r="T9" i="1"/>
  <c r="M7" i="1"/>
  <c r="M15" i="1" s="1"/>
  <c r="L7" i="1"/>
  <c r="L15" i="1" s="1"/>
  <c r="K7" i="1"/>
  <c r="K15" i="1" s="1"/>
  <c r="J7" i="1"/>
  <c r="J15" i="1" s="1"/>
  <c r="J36" i="1" s="1"/>
  <c r="J44" i="1" s="1"/>
  <c r="I7" i="1"/>
  <c r="I15" i="1" s="1"/>
  <c r="I36" i="1" s="1"/>
  <c r="I44" i="1" s="1"/>
  <c r="S7" i="1"/>
  <c r="S15" i="1" s="1"/>
  <c r="R7" i="1"/>
  <c r="R15" i="1" s="1"/>
  <c r="Q7" i="1"/>
  <c r="Q15" i="1" s="1"/>
  <c r="G7" i="1"/>
  <c r="G15" i="1" s="1"/>
  <c r="B38" i="1"/>
  <c r="E7" i="1"/>
  <c r="E15" i="1" s="1"/>
  <c r="C7" i="1"/>
  <c r="C15" i="1" s="1"/>
  <c r="P7" i="1"/>
  <c r="P15" i="1" s="1"/>
  <c r="O7" i="1"/>
  <c r="O15" i="1" s="1"/>
  <c r="N7" i="1"/>
  <c r="N15" i="1" s="1"/>
  <c r="H7" i="1"/>
  <c r="H15" i="1" s="1"/>
  <c r="F7" i="1"/>
  <c r="F15" i="1" s="1"/>
  <c r="D7" i="1"/>
  <c r="D15" i="1" s="1"/>
  <c r="B7" i="1"/>
  <c r="B15" i="1" s="1"/>
  <c r="B36" i="1" s="1"/>
  <c r="B44" i="1" s="1"/>
  <c r="U126" i="1" l="1"/>
  <c r="U52" i="1" s="1"/>
  <c r="N126" i="1"/>
  <c r="N52" i="1" s="1"/>
  <c r="U113" i="1"/>
  <c r="U114" i="1" s="1"/>
  <c r="N133" i="1"/>
  <c r="N137" i="1" s="1"/>
  <c r="U133" i="1"/>
  <c r="K116" i="1"/>
  <c r="K122" i="1" s="1"/>
  <c r="K123" i="1" s="1"/>
  <c r="K124" i="1" s="1"/>
  <c r="K126" i="1" s="1"/>
  <c r="K52" i="1" s="1"/>
  <c r="N116" i="1"/>
  <c r="K133" i="1"/>
  <c r="K137" i="1" s="1"/>
  <c r="W133" i="1"/>
  <c r="W137" i="1" s="1"/>
  <c r="W139" i="1" s="1"/>
  <c r="T133" i="1"/>
  <c r="T137" i="1" s="1"/>
  <c r="T139" i="1" s="1"/>
  <c r="R133" i="1"/>
  <c r="Q133" i="1"/>
  <c r="Q137" i="1" s="1"/>
  <c r="Q139" i="1" s="1"/>
  <c r="Q115" i="1" s="1"/>
  <c r="Q116" i="1" s="1"/>
  <c r="Q122" i="1" s="1"/>
  <c r="Q123" i="1" s="1"/>
  <c r="Q124" i="1" s="1"/>
  <c r="Q52" i="1" s="1"/>
  <c r="C133" i="1"/>
  <c r="O133" i="1"/>
  <c r="G133" i="1"/>
  <c r="D133" i="1"/>
  <c r="I53" i="1"/>
  <c r="F133" i="1"/>
  <c r="H133" i="1"/>
  <c r="E133" i="1"/>
  <c r="F114" i="1"/>
  <c r="F135" i="1" s="1"/>
  <c r="F136" i="1" s="1"/>
  <c r="E135" i="1"/>
  <c r="E136" i="1" s="1"/>
  <c r="E116" i="1"/>
  <c r="E122" i="1" s="1"/>
  <c r="E123" i="1" s="1"/>
  <c r="E124" i="1" s="1"/>
  <c r="E52" i="1" s="1"/>
  <c r="G114" i="1"/>
  <c r="D114" i="1"/>
  <c r="C113" i="1"/>
  <c r="C114" i="1" s="1"/>
  <c r="H114" i="1"/>
  <c r="O114" i="1"/>
  <c r="T114" i="1"/>
  <c r="T135" i="1" s="1"/>
  <c r="T136" i="1" s="1"/>
  <c r="R114" i="1"/>
  <c r="J53" i="1"/>
  <c r="W96" i="1"/>
  <c r="P36" i="1"/>
  <c r="P44" i="1" s="1"/>
  <c r="P53" i="1" s="1"/>
  <c r="S36" i="1"/>
  <c r="K36" i="1"/>
  <c r="L36" i="1"/>
  <c r="L44" i="1" s="1"/>
  <c r="L53" i="1" s="1"/>
  <c r="M36" i="1"/>
  <c r="M44" i="1" s="1"/>
  <c r="M53" i="1" s="1"/>
  <c r="N36" i="1"/>
  <c r="W81" i="1"/>
  <c r="W82" i="1" s="1"/>
  <c r="E82" i="1"/>
  <c r="E98" i="1" s="1"/>
  <c r="E99" i="1" s="1"/>
  <c r="F96" i="1"/>
  <c r="J39" i="1"/>
  <c r="I39" i="1"/>
  <c r="Q96" i="1"/>
  <c r="Q82" i="1"/>
  <c r="Q98" i="1" s="1"/>
  <c r="Q99" i="1" s="1"/>
  <c r="T82" i="1"/>
  <c r="T98" i="1" s="1"/>
  <c r="T99" i="1" s="1"/>
  <c r="R82" i="1"/>
  <c r="R98" i="1" s="1"/>
  <c r="R99" i="1" s="1"/>
  <c r="R100" i="1" s="1"/>
  <c r="R102" i="1" s="1"/>
  <c r="R83" i="1" s="1"/>
  <c r="R84" i="1" s="1"/>
  <c r="R86" i="1" s="1"/>
  <c r="R87" i="1" s="1"/>
  <c r="R88" i="1" s="1"/>
  <c r="O96" i="1"/>
  <c r="G96" i="1"/>
  <c r="T96" i="1"/>
  <c r="H96" i="1"/>
  <c r="O82" i="1"/>
  <c r="C82" i="1"/>
  <c r="E96" i="1"/>
  <c r="D82" i="1"/>
  <c r="F82" i="1"/>
  <c r="F98" i="1" s="1"/>
  <c r="F99" i="1" s="1"/>
  <c r="C96" i="1"/>
  <c r="G82" i="1"/>
  <c r="D96" i="1"/>
  <c r="H82" i="1"/>
  <c r="V15" i="1"/>
  <c r="V36" i="1" s="1"/>
  <c r="V44" i="1" s="1"/>
  <c r="V53" i="1" s="1"/>
  <c r="U15" i="1"/>
  <c r="U36" i="1" s="1"/>
  <c r="T15" i="1"/>
  <c r="B39" i="1"/>
  <c r="U135" i="1" l="1"/>
  <c r="U136" i="1" s="1"/>
  <c r="U137" i="1" s="1"/>
  <c r="U116" i="1"/>
  <c r="F137" i="1"/>
  <c r="E137" i="1"/>
  <c r="W115" i="1"/>
  <c r="W116" i="1" s="1"/>
  <c r="W122" i="1" s="1"/>
  <c r="W123" i="1" s="1"/>
  <c r="W124" i="1" s="1"/>
  <c r="F116" i="1"/>
  <c r="F122" i="1" s="1"/>
  <c r="F123" i="1" s="1"/>
  <c r="F124" i="1" s="1"/>
  <c r="F52" i="1" s="1"/>
  <c r="C135" i="1"/>
  <c r="C136" i="1" s="1"/>
  <c r="C137" i="1" s="1"/>
  <c r="C116" i="1"/>
  <c r="C122" i="1" s="1"/>
  <c r="C123" i="1" s="1"/>
  <c r="C124" i="1" s="1"/>
  <c r="C52" i="1" s="1"/>
  <c r="R135" i="1"/>
  <c r="R136" i="1" s="1"/>
  <c r="R137" i="1" s="1"/>
  <c r="R139" i="1" s="1"/>
  <c r="R115" i="1" s="1"/>
  <c r="R116" i="1" s="1"/>
  <c r="R122" i="1" s="1"/>
  <c r="R123" i="1" s="1"/>
  <c r="R124" i="1" s="1"/>
  <c r="R52" i="1" s="1"/>
  <c r="O116" i="1"/>
  <c r="O122" i="1" s="1"/>
  <c r="O123" i="1" s="1"/>
  <c r="O124" i="1" s="1"/>
  <c r="O52" i="1" s="1"/>
  <c r="O135" i="1"/>
  <c r="O136" i="1" s="1"/>
  <c r="O137" i="1" s="1"/>
  <c r="G135" i="1"/>
  <c r="G136" i="1" s="1"/>
  <c r="G137" i="1" s="1"/>
  <c r="G116" i="1"/>
  <c r="G122" i="1" s="1"/>
  <c r="G123" i="1" s="1"/>
  <c r="G124" i="1" s="1"/>
  <c r="G52" i="1" s="1"/>
  <c r="T115" i="1"/>
  <c r="T116" i="1" s="1"/>
  <c r="T122" i="1" s="1"/>
  <c r="T123" i="1" s="1"/>
  <c r="T124" i="1" s="1"/>
  <c r="T52" i="1" s="1"/>
  <c r="H116" i="1"/>
  <c r="H122" i="1" s="1"/>
  <c r="H123" i="1" s="1"/>
  <c r="H124" i="1" s="1"/>
  <c r="H52" i="1" s="1"/>
  <c r="H135" i="1"/>
  <c r="H136" i="1" s="1"/>
  <c r="H137" i="1" s="1"/>
  <c r="D135" i="1"/>
  <c r="D136" i="1" s="1"/>
  <c r="D137" i="1" s="1"/>
  <c r="D116" i="1"/>
  <c r="D122" i="1" s="1"/>
  <c r="D123" i="1" s="1"/>
  <c r="D124" i="1" s="1"/>
  <c r="D52" i="1" s="1"/>
  <c r="U42" i="1"/>
  <c r="U44" i="1"/>
  <c r="U53" i="1" s="1"/>
  <c r="U54" i="1" s="1"/>
  <c r="K42" i="1"/>
  <c r="K44" i="1"/>
  <c r="K53" i="1" s="1"/>
  <c r="K54" i="1" s="1"/>
  <c r="N42" i="1"/>
  <c r="N44" i="1"/>
  <c r="N53" i="1" s="1"/>
  <c r="N54" i="1" s="1"/>
  <c r="S42" i="1"/>
  <c r="S44" i="1"/>
  <c r="S53" i="1" s="1"/>
  <c r="W98" i="1"/>
  <c r="W99" i="1" s="1"/>
  <c r="W100" i="1" s="1"/>
  <c r="W102" i="1" s="1"/>
  <c r="W83" i="1" s="1"/>
  <c r="W84" i="1" s="1"/>
  <c r="W86" i="1" s="1"/>
  <c r="W87" i="1" s="1"/>
  <c r="W88" i="1" s="1"/>
  <c r="W18" i="1" s="1"/>
  <c r="W51" i="1" s="1"/>
  <c r="F100" i="1"/>
  <c r="R18" i="1"/>
  <c r="R51" i="1" s="1"/>
  <c r="E84" i="1"/>
  <c r="E86" i="1" s="1"/>
  <c r="E87" i="1" s="1"/>
  <c r="E88" i="1" s="1"/>
  <c r="E18" i="1" s="1"/>
  <c r="E51" i="1" s="1"/>
  <c r="E100" i="1"/>
  <c r="Q100" i="1"/>
  <c r="Q102" i="1" s="1"/>
  <c r="Q83" i="1" s="1"/>
  <c r="Q84" i="1" s="1"/>
  <c r="Q86" i="1" s="1"/>
  <c r="Q87" i="1" s="1"/>
  <c r="Q88" i="1" s="1"/>
  <c r="Q18" i="1" s="1"/>
  <c r="Q51" i="1" s="1"/>
  <c r="T100" i="1"/>
  <c r="T102" i="1" s="1"/>
  <c r="T83" i="1" s="1"/>
  <c r="T84" i="1" s="1"/>
  <c r="T86" i="1" s="1"/>
  <c r="C98" i="1"/>
  <c r="C99" i="1" s="1"/>
  <c r="C100" i="1" s="1"/>
  <c r="C84" i="1"/>
  <c r="C86" i="1" s="1"/>
  <c r="C87" i="1" s="1"/>
  <c r="C88" i="1" s="1"/>
  <c r="C18" i="1" s="1"/>
  <c r="C51" i="1" s="1"/>
  <c r="G98" i="1"/>
  <c r="G99" i="1" s="1"/>
  <c r="G100" i="1" s="1"/>
  <c r="G84" i="1"/>
  <c r="G86" i="1" s="1"/>
  <c r="G87" i="1" s="1"/>
  <c r="G88" i="1" s="1"/>
  <c r="G18" i="1" s="1"/>
  <c r="G51" i="1" s="1"/>
  <c r="H98" i="1"/>
  <c r="H99" i="1" s="1"/>
  <c r="H100" i="1" s="1"/>
  <c r="H84" i="1"/>
  <c r="H86" i="1" s="1"/>
  <c r="H87" i="1" s="1"/>
  <c r="H88" i="1" s="1"/>
  <c r="H18" i="1" s="1"/>
  <c r="H51" i="1" s="1"/>
  <c r="D98" i="1"/>
  <c r="D99" i="1" s="1"/>
  <c r="D100" i="1" s="1"/>
  <c r="D84" i="1"/>
  <c r="D86" i="1" s="1"/>
  <c r="D87" i="1" s="1"/>
  <c r="D88" i="1" s="1"/>
  <c r="D18" i="1" s="1"/>
  <c r="D51" i="1" s="1"/>
  <c r="F84" i="1"/>
  <c r="F86" i="1" s="1"/>
  <c r="F87" i="1" s="1"/>
  <c r="F88" i="1" s="1"/>
  <c r="F18" i="1" s="1"/>
  <c r="F51" i="1" s="1"/>
  <c r="O98" i="1"/>
  <c r="O99" i="1" s="1"/>
  <c r="O100" i="1" s="1"/>
  <c r="O84" i="1"/>
  <c r="O86" i="1" s="1"/>
  <c r="O87" i="1" s="1"/>
  <c r="O88" i="1" s="1"/>
  <c r="O18" i="1" s="1"/>
  <c r="O51" i="1" s="1"/>
  <c r="C36" i="1" l="1"/>
  <c r="C44" i="1" s="1"/>
  <c r="C53" i="1" s="1"/>
  <c r="Q36" i="1"/>
  <c r="Q44" i="1" s="1"/>
  <c r="Q53" i="1" s="1"/>
  <c r="R36" i="1"/>
  <c r="R42" i="1" s="1"/>
  <c r="G36" i="1"/>
  <c r="G44" i="1" s="1"/>
  <c r="G53" i="1" s="1"/>
  <c r="W36" i="1"/>
  <c r="W42" i="1" s="1"/>
  <c r="O36" i="1"/>
  <c r="O42" i="1" s="1"/>
  <c r="D36" i="1"/>
  <c r="D44" i="1" s="1"/>
  <c r="D53" i="1" s="1"/>
  <c r="E36" i="1"/>
  <c r="E42" i="1" s="1"/>
  <c r="F36" i="1"/>
  <c r="F42" i="1" s="1"/>
  <c r="H36" i="1"/>
  <c r="H42" i="1" s="1"/>
  <c r="T87" i="1"/>
  <c r="T88" i="1" s="1"/>
  <c r="T18" i="1" s="1"/>
  <c r="T51" i="1" s="1"/>
  <c r="R44" i="1" l="1"/>
  <c r="R53" i="1" s="1"/>
  <c r="Q42" i="1"/>
  <c r="H44" i="1"/>
  <c r="H53" i="1" s="1"/>
  <c r="O44" i="1"/>
  <c r="O53" i="1" s="1"/>
  <c r="E44" i="1"/>
  <c r="E53" i="1" s="1"/>
  <c r="D42" i="1"/>
  <c r="G42" i="1"/>
  <c r="W44" i="1"/>
  <c r="W53" i="1" s="1"/>
  <c r="W54" i="1" s="1"/>
  <c r="C42" i="1"/>
  <c r="F44" i="1"/>
  <c r="F53" i="1" s="1"/>
  <c r="T36" i="1"/>
  <c r="T42" i="1" s="1"/>
  <c r="T44" i="1" l="1"/>
  <c r="T53" i="1" s="1"/>
</calcChain>
</file>

<file path=xl/sharedStrings.xml><?xml version="1.0" encoding="utf-8"?>
<sst xmlns="http://schemas.openxmlformats.org/spreadsheetml/2006/main" count="260" uniqueCount="111">
  <si>
    <t>Household:</t>
  </si>
  <si>
    <t>Annual Income</t>
  </si>
  <si>
    <t>Less: FICA tax</t>
  </si>
  <si>
    <t>Less: health premiums</t>
  </si>
  <si>
    <t>Plus: ACA credits</t>
  </si>
  <si>
    <t>Child Tax Credit</t>
  </si>
  <si>
    <t xml:space="preserve">  Net after taxes</t>
  </si>
  <si>
    <t>Entitlements:</t>
  </si>
  <si>
    <t>Taxes:</t>
  </si>
  <si>
    <t>SNAP (food stamps)</t>
  </si>
  <si>
    <t>WIC</t>
  </si>
  <si>
    <t>Medicaid</t>
  </si>
  <si>
    <t xml:space="preserve">LIHEAP </t>
  </si>
  <si>
    <t>School Lunch</t>
  </si>
  <si>
    <t>School Breakfast</t>
  </si>
  <si>
    <t>Earned Income Tax Credit</t>
  </si>
  <si>
    <t xml:space="preserve">  Total Entitlements</t>
  </si>
  <si>
    <t xml:space="preserve">  </t>
  </si>
  <si>
    <t>Assumed rent cost</t>
  </si>
  <si>
    <t>Assumed transportation</t>
  </si>
  <si>
    <t>Assumed utilities</t>
  </si>
  <si>
    <t>Assumed food costs</t>
  </si>
  <si>
    <t>Assumed health OOP cost</t>
  </si>
  <si>
    <t>Assumed misc other cost</t>
  </si>
  <si>
    <t>Single</t>
  </si>
  <si>
    <t>no kids</t>
  </si>
  <si>
    <t xml:space="preserve">Lifeline/phone </t>
  </si>
  <si>
    <t>one kid</t>
  </si>
  <si>
    <t>2 kids</t>
  </si>
  <si>
    <t>3 kids</t>
  </si>
  <si>
    <t>Married</t>
  </si>
  <si>
    <t xml:space="preserve">Fact pattern number: </t>
  </si>
  <si>
    <t>Male</t>
  </si>
  <si>
    <t>Child &amp; Depend Care Credit</t>
  </si>
  <si>
    <t>Assumed child care costs</t>
  </si>
  <si>
    <t xml:space="preserve">The assumed child care costs are a recent GA average for the cost of full-time daycare. </t>
  </si>
  <si>
    <t>by GA DECAL.  Single means female unless otherwise noted. Health OOP means out-of pocket.  These</t>
  </si>
  <si>
    <t xml:space="preserve">amounts are assumed. If there is no health care costs, it means Medicaid applies. </t>
  </si>
  <si>
    <t>Cohab</t>
  </si>
  <si>
    <t xml:space="preserve"> </t>
  </si>
  <si>
    <t>Less: State income tax</t>
  </si>
  <si>
    <t>Less: Federal income tax</t>
  </si>
  <si>
    <t>If separate apt. while single</t>
  </si>
  <si>
    <t>Overall total</t>
  </si>
  <si>
    <t>In instances where one child exists, it is assume the child is age 2; for two children, ages 2 and 4 ; for 3, 2, 4 &amp; 6</t>
  </si>
  <si>
    <t xml:space="preserve">It is assumed that 75% of the child care costs are incurred when the woman works 75% of full-time. </t>
  </si>
  <si>
    <t xml:space="preserve">Entitlements that are not assured or virtually assured, such as Section 8 housing, are not considered above. </t>
  </si>
  <si>
    <t>SNAP calculations:</t>
  </si>
  <si>
    <t>Number in household:</t>
  </si>
  <si>
    <t>Maximum monthly benefit:</t>
  </si>
  <si>
    <t xml:space="preserve">Gross monthly income: </t>
  </si>
  <si>
    <t>Standard deduction:</t>
  </si>
  <si>
    <t>Earned income deduction:</t>
  </si>
  <si>
    <t>Excess shelter ded (below):</t>
  </si>
  <si>
    <t>Net Income</t>
  </si>
  <si>
    <t xml:space="preserve">Excess shelter deduction: </t>
  </si>
  <si>
    <t>Subtracted from max ben:</t>
  </si>
  <si>
    <t xml:space="preserve">x 12 </t>
  </si>
  <si>
    <t>Ineligible based on gross?</t>
  </si>
  <si>
    <t>Ineligible based on net inc?</t>
  </si>
  <si>
    <t>Net income x .3</t>
  </si>
  <si>
    <t>Yes</t>
  </si>
  <si>
    <t xml:space="preserve">No </t>
  </si>
  <si>
    <t>No</t>
  </si>
  <si>
    <t>Gross income limitation:</t>
  </si>
  <si>
    <t>Shelter expenses:</t>
  </si>
  <si>
    <t>Rent</t>
  </si>
  <si>
    <t>Gross utilities</t>
  </si>
  <si>
    <t>Less: LIHEAP</t>
  </si>
  <si>
    <t>Equals shelter expenses:</t>
  </si>
  <si>
    <t>Net inc bef exc shel deduc</t>
  </si>
  <si>
    <t xml:space="preserve">Net inc bef ex shel deduc </t>
  </si>
  <si>
    <t>x .50</t>
  </si>
  <si>
    <t>Pre-limit exc shelt expense</t>
  </si>
  <si>
    <t>Limit:</t>
  </si>
  <si>
    <t>Excess shelter deduction</t>
  </si>
  <si>
    <t xml:space="preserve">Column from above: </t>
  </si>
  <si>
    <t xml:space="preserve">Child Care Assist/Head Start </t>
  </si>
  <si>
    <t>Assumed phone costs</t>
  </si>
  <si>
    <t>In all married cases, the husband works full-time and the wife works 30 hours per week</t>
  </si>
  <si>
    <t xml:space="preserve">It is assumed that private cell phone service costs $50/month/person and $80/month/couple. </t>
  </si>
  <si>
    <t xml:space="preserve">In columns 1, 8 &amp; 9, an apartment is rented/shared with another person, at $750/month; cutting utilities by 50%. </t>
  </si>
  <si>
    <t>The possibility of maintaining and individual apartment at $1,000 and 100% utilities is considered in  line 39</t>
  </si>
  <si>
    <t>It is conservatively assume that when childcare must be paid for, 7% of total income is the parent's responsibility</t>
  </si>
  <si>
    <t>If child care reimb cut 50%:</t>
  </si>
  <si>
    <t>Net of all above</t>
  </si>
  <si>
    <t>Revised net of all above</t>
  </si>
  <si>
    <t>and earns $15,000/year.  ACA credits and 2nd lowest cost silver based on US average.</t>
  </si>
  <si>
    <t>Reduced</t>
  </si>
  <si>
    <t>If no child care reimburse:</t>
  </si>
  <si>
    <t>Add back Chi/Dep Care Cre</t>
  </si>
  <si>
    <t>Add back EIC</t>
  </si>
  <si>
    <t xml:space="preserve">Add back SNAP </t>
  </si>
  <si>
    <t>Deduct new SNAP</t>
  </si>
  <si>
    <t>Net assuming no child reim</t>
  </si>
  <si>
    <t xml:space="preserve">Poverty Level </t>
  </si>
  <si>
    <t>Poverty Level x 1.2</t>
  </si>
  <si>
    <t>Poverty Level X 0.8</t>
  </si>
  <si>
    <t>Net inc 80% of PL or below?</t>
  </si>
  <si>
    <t>Add Child/Dep Care Cre</t>
  </si>
  <si>
    <t>Add new EIC</t>
  </si>
  <si>
    <t xml:space="preserve">In columns 19-21, it is assumed the mother makes $20,000, $30,000 and $40,000, in each respective year. </t>
  </si>
  <si>
    <t>CADE reduction</t>
  </si>
  <si>
    <t>Net</t>
  </si>
  <si>
    <t xml:space="preserve">The single female in columns 3, 5 and 7 works 30 hours per week at $10 per hour. </t>
  </si>
  <si>
    <t>The singles in columns 1, 8 and 9 work 40 hours per week.</t>
  </si>
  <si>
    <t xml:space="preserve">Notes: The tax system used is 2023. Entitlements are 2024.  Child care assistance is reimbursed  </t>
  </si>
  <si>
    <t>CADE Difference</t>
  </si>
  <si>
    <t>CADE ALT Adjustments:</t>
  </si>
  <si>
    <t>Entitlements and Tax Credits ALT Analysis 2024 Using 2023 Tax System</t>
  </si>
  <si>
    <t>SNAP ALT CADE 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</si>
</sst>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1" fillId="0" borderId="0" xfId="0" applyNumberFormat="1" applyFont="1"/>
    <xf numFmtId="1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7"/>
  <sheetViews>
    <sheetView tabSelected="1" topLeftCell="A109" workbookViewId="0">
      <selection activeCell="AA138" sqref="AA138"/>
    </sheetView>
  </sheetViews>
  <sheetFormatPr defaultRowHeight="15" x14ac:dyDescent="0.25"/>
  <cols>
    <col min="1" max="1" width="24.7109375" customWidth="1"/>
    <col min="2" max="2" width="6.7109375" customWidth="1"/>
    <col min="3" max="3" width="7.140625" customWidth="1"/>
    <col min="4" max="5" width="7" customWidth="1"/>
    <col min="6" max="6" width="7.28515625" customWidth="1"/>
    <col min="7" max="7" width="6.85546875" customWidth="1"/>
    <col min="8" max="8" width="6.7109375" customWidth="1"/>
    <col min="9" max="9" width="5.85546875" customWidth="1"/>
    <col min="10" max="10" width="6.28515625" customWidth="1"/>
    <col min="11" max="13" width="6.85546875" customWidth="1"/>
    <col min="14" max="14" width="7.140625" customWidth="1"/>
    <col min="15" max="15" width="6.85546875" customWidth="1"/>
    <col min="16" max="16" width="7.140625" customWidth="1"/>
    <col min="17" max="19" width="7" customWidth="1"/>
    <col min="20" max="21" width="6.42578125" customWidth="1"/>
    <col min="22" max="22" width="6.5703125" customWidth="1"/>
    <col min="23" max="23" width="7" customWidth="1"/>
    <col min="24" max="24" width="6.5703125" customWidth="1"/>
    <col min="25" max="25" width="7" customWidth="1"/>
  </cols>
  <sheetData>
    <row r="1" spans="1:25" x14ac:dyDescent="0.25">
      <c r="A1" t="s">
        <v>109</v>
      </c>
    </row>
    <row r="2" spans="1:25" x14ac:dyDescent="0.25">
      <c r="A2" t="s">
        <v>31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6</v>
      </c>
      <c r="H2" s="11">
        <v>7</v>
      </c>
      <c r="I2" s="11">
        <v>8</v>
      </c>
      <c r="J2" s="11">
        <v>9</v>
      </c>
      <c r="K2" s="11">
        <v>10</v>
      </c>
      <c r="L2" s="11">
        <v>11</v>
      </c>
      <c r="M2" s="11">
        <v>12</v>
      </c>
      <c r="N2" s="11">
        <v>13</v>
      </c>
      <c r="O2" s="11">
        <v>14</v>
      </c>
      <c r="P2" s="11">
        <v>15</v>
      </c>
      <c r="Q2" s="11">
        <v>16</v>
      </c>
      <c r="R2" s="11">
        <v>17</v>
      </c>
      <c r="S2" s="11">
        <v>18</v>
      </c>
      <c r="T2" s="11">
        <v>19</v>
      </c>
      <c r="U2" s="11">
        <v>20</v>
      </c>
      <c r="V2" s="11">
        <v>21</v>
      </c>
      <c r="W2" s="11">
        <v>22</v>
      </c>
      <c r="X2" s="11"/>
      <c r="Y2" s="11"/>
    </row>
    <row r="3" spans="1:25" x14ac:dyDescent="0.25"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 t="s">
        <v>24</v>
      </c>
      <c r="H3" s="3" t="s">
        <v>24</v>
      </c>
      <c r="I3" s="3" t="s">
        <v>24</v>
      </c>
      <c r="J3" s="3" t="s">
        <v>24</v>
      </c>
      <c r="K3" s="3" t="s">
        <v>30</v>
      </c>
      <c r="L3" s="3" t="s">
        <v>30</v>
      </c>
      <c r="M3" s="3" t="s">
        <v>30</v>
      </c>
      <c r="N3" s="3" t="s">
        <v>30</v>
      </c>
      <c r="O3" s="3" t="s">
        <v>30</v>
      </c>
      <c r="P3" s="3" t="s">
        <v>30</v>
      </c>
      <c r="Q3" s="3" t="s">
        <v>30</v>
      </c>
      <c r="R3" s="3" t="s">
        <v>30</v>
      </c>
      <c r="S3" s="3" t="s">
        <v>30</v>
      </c>
      <c r="T3" s="3" t="s">
        <v>38</v>
      </c>
      <c r="U3" s="3" t="s">
        <v>38</v>
      </c>
      <c r="V3" s="3" t="s">
        <v>38</v>
      </c>
      <c r="W3" s="3" t="s">
        <v>30</v>
      </c>
    </row>
    <row r="4" spans="1:25" x14ac:dyDescent="0.25">
      <c r="A4" t="s">
        <v>0</v>
      </c>
      <c r="B4" s="1" t="s">
        <v>25</v>
      </c>
      <c r="C4" s="1" t="s">
        <v>27</v>
      </c>
      <c r="D4" s="1" t="s">
        <v>27</v>
      </c>
      <c r="E4" s="1" t="s">
        <v>28</v>
      </c>
      <c r="F4" s="1" t="s">
        <v>28</v>
      </c>
      <c r="G4" s="1" t="s">
        <v>29</v>
      </c>
      <c r="H4" s="1" t="s">
        <v>29</v>
      </c>
      <c r="I4" s="1" t="s">
        <v>32</v>
      </c>
      <c r="J4" s="1" t="s">
        <v>32</v>
      </c>
      <c r="K4" s="1" t="s">
        <v>27</v>
      </c>
      <c r="L4" s="1" t="s">
        <v>27</v>
      </c>
      <c r="M4" s="1" t="s">
        <v>27</v>
      </c>
      <c r="N4" s="1" t="s">
        <v>28</v>
      </c>
      <c r="O4" s="1" t="s">
        <v>28</v>
      </c>
      <c r="P4" s="1" t="s">
        <v>28</v>
      </c>
      <c r="Q4" s="1" t="s">
        <v>29</v>
      </c>
      <c r="R4" s="1" t="s">
        <v>29</v>
      </c>
      <c r="S4" s="1" t="s">
        <v>29</v>
      </c>
      <c r="T4" s="1" t="s">
        <v>28</v>
      </c>
      <c r="U4" s="1" t="s">
        <v>28</v>
      </c>
      <c r="V4" s="1" t="s">
        <v>28</v>
      </c>
      <c r="W4" s="1" t="s">
        <v>27</v>
      </c>
    </row>
    <row r="5" spans="1:25" x14ac:dyDescent="0.25">
      <c r="A5" t="s">
        <v>8</v>
      </c>
    </row>
    <row r="6" spans="1:25" x14ac:dyDescent="0.25">
      <c r="A6" t="s">
        <v>1</v>
      </c>
      <c r="B6">
        <v>25000</v>
      </c>
      <c r="C6">
        <v>25000</v>
      </c>
      <c r="D6">
        <v>15000</v>
      </c>
      <c r="E6">
        <v>25000</v>
      </c>
      <c r="F6">
        <v>15000</v>
      </c>
      <c r="G6">
        <v>25000</v>
      </c>
      <c r="H6">
        <v>15000</v>
      </c>
      <c r="I6">
        <v>30000</v>
      </c>
      <c r="J6">
        <v>40000</v>
      </c>
      <c r="K6">
        <v>35000</v>
      </c>
      <c r="L6">
        <v>45000</v>
      </c>
      <c r="M6">
        <v>55000</v>
      </c>
      <c r="N6">
        <v>45000</v>
      </c>
      <c r="O6">
        <v>35000</v>
      </c>
      <c r="P6">
        <v>55000</v>
      </c>
      <c r="Q6">
        <v>45000</v>
      </c>
      <c r="R6">
        <v>35000</v>
      </c>
      <c r="S6">
        <v>55000</v>
      </c>
      <c r="T6">
        <v>35000</v>
      </c>
      <c r="U6">
        <v>45000</v>
      </c>
      <c r="V6">
        <v>55000</v>
      </c>
      <c r="W6" s="4">
        <v>32000</v>
      </c>
    </row>
    <row r="7" spans="1:25" x14ac:dyDescent="0.25">
      <c r="A7" t="s">
        <v>2</v>
      </c>
      <c r="B7" s="6">
        <f>-B6*0.0765</f>
        <v>-1912.5</v>
      </c>
      <c r="C7" s="6">
        <f>-C6*0.0765</f>
        <v>-1912.5</v>
      </c>
      <c r="D7" s="6">
        <f t="shared" ref="D7:W7" si="0">-D6*0.0765</f>
        <v>-1147.5</v>
      </c>
      <c r="E7" s="6">
        <f t="shared" si="0"/>
        <v>-1912.5</v>
      </c>
      <c r="F7" s="6">
        <f t="shared" si="0"/>
        <v>-1147.5</v>
      </c>
      <c r="G7" s="6">
        <f t="shared" si="0"/>
        <v>-1912.5</v>
      </c>
      <c r="H7" s="6">
        <f t="shared" si="0"/>
        <v>-1147.5</v>
      </c>
      <c r="I7" s="6">
        <f t="shared" si="0"/>
        <v>-2295</v>
      </c>
      <c r="J7" s="6">
        <f t="shared" si="0"/>
        <v>-3060</v>
      </c>
      <c r="K7" s="6">
        <f t="shared" si="0"/>
        <v>-2677.5</v>
      </c>
      <c r="L7" s="6">
        <f t="shared" si="0"/>
        <v>-3442.5</v>
      </c>
      <c r="M7" s="6">
        <f t="shared" si="0"/>
        <v>-4207.5</v>
      </c>
      <c r="N7" s="6">
        <f t="shared" si="0"/>
        <v>-3442.5</v>
      </c>
      <c r="O7" s="6">
        <f t="shared" si="0"/>
        <v>-2677.5</v>
      </c>
      <c r="P7" s="6">
        <f t="shared" si="0"/>
        <v>-4207.5</v>
      </c>
      <c r="Q7" s="6">
        <f t="shared" si="0"/>
        <v>-3442.5</v>
      </c>
      <c r="R7" s="6">
        <f t="shared" si="0"/>
        <v>-2677.5</v>
      </c>
      <c r="S7" s="6">
        <f t="shared" si="0"/>
        <v>-4207.5</v>
      </c>
      <c r="T7" s="6">
        <f t="shared" si="0"/>
        <v>-2677.5</v>
      </c>
      <c r="U7" s="6">
        <f t="shared" si="0"/>
        <v>-3442.5</v>
      </c>
      <c r="V7" s="6">
        <f t="shared" si="0"/>
        <v>-4207.5</v>
      </c>
      <c r="W7" s="6">
        <f t="shared" si="0"/>
        <v>-2448</v>
      </c>
    </row>
    <row r="8" spans="1:25" x14ac:dyDescent="0.25">
      <c r="A8" t="s">
        <v>41</v>
      </c>
      <c r="B8">
        <v>-1121</v>
      </c>
      <c r="C8">
        <v>-1121</v>
      </c>
      <c r="D8">
        <v>-116</v>
      </c>
      <c r="E8">
        <v>-1121</v>
      </c>
      <c r="F8">
        <v>-116</v>
      </c>
      <c r="G8">
        <v>-1121</v>
      </c>
      <c r="H8">
        <v>-116</v>
      </c>
      <c r="I8">
        <v>-1844</v>
      </c>
      <c r="J8">
        <v>-2921</v>
      </c>
      <c r="K8">
        <v>-733</v>
      </c>
      <c r="L8">
        <v>-1733</v>
      </c>
      <c r="M8">
        <v>-2839</v>
      </c>
      <c r="N8">
        <v>-1733</v>
      </c>
      <c r="O8">
        <v>-733</v>
      </c>
      <c r="P8">
        <v>-2839</v>
      </c>
      <c r="Q8">
        <v>-1733</v>
      </c>
      <c r="R8">
        <v>-733</v>
      </c>
      <c r="S8">
        <v>-2839</v>
      </c>
      <c r="T8">
        <v>-116</v>
      </c>
      <c r="U8">
        <f>-923-116</f>
        <v>-1039</v>
      </c>
      <c r="V8">
        <f>-1993-116</f>
        <v>-2109</v>
      </c>
      <c r="W8" s="4">
        <v>-433</v>
      </c>
    </row>
    <row r="9" spans="1:25" x14ac:dyDescent="0.25">
      <c r="A9" t="s">
        <v>40</v>
      </c>
      <c r="B9">
        <v>-799</v>
      </c>
      <c r="C9">
        <v>-357</v>
      </c>
      <c r="D9">
        <v>-44</v>
      </c>
      <c r="E9">
        <v>-118</v>
      </c>
      <c r="I9">
        <v>-1087</v>
      </c>
      <c r="J9">
        <v>-1662</v>
      </c>
      <c r="K9">
        <v>-551</v>
      </c>
      <c r="L9">
        <v>-1166</v>
      </c>
      <c r="M9">
        <v>-1741</v>
      </c>
      <c r="N9">
        <v>-814</v>
      </c>
      <c r="O9">
        <v>-379</v>
      </c>
      <c r="P9">
        <v>-1389</v>
      </c>
      <c r="Q9">
        <v>-641</v>
      </c>
      <c r="R9">
        <v>-206</v>
      </c>
      <c r="S9">
        <v>-1216</v>
      </c>
      <c r="T9">
        <f>-146-221</f>
        <v>-367</v>
      </c>
      <c r="U9">
        <f>-402-221</f>
        <v>-623</v>
      </c>
      <c r="V9">
        <f>-858-221</f>
        <v>-1079</v>
      </c>
      <c r="W9" s="4">
        <v>-469</v>
      </c>
    </row>
    <row r="10" spans="1:25" x14ac:dyDescent="0.25">
      <c r="A10" t="s">
        <v>3</v>
      </c>
      <c r="B10">
        <v>-4283</v>
      </c>
      <c r="C10">
        <v>-4283</v>
      </c>
      <c r="I10">
        <v>-4283</v>
      </c>
      <c r="J10">
        <v>-4283</v>
      </c>
      <c r="K10">
        <v>-8567</v>
      </c>
      <c r="L10">
        <v>-8567</v>
      </c>
      <c r="M10">
        <v>-8567</v>
      </c>
      <c r="N10">
        <v>-8567</v>
      </c>
      <c r="O10">
        <v>-8567</v>
      </c>
      <c r="P10">
        <v>-8567</v>
      </c>
      <c r="Q10">
        <v>-8567</v>
      </c>
      <c r="S10">
        <v>-8567</v>
      </c>
      <c r="T10">
        <f>-4283-4284</f>
        <v>-8567</v>
      </c>
      <c r="U10">
        <f t="shared" ref="U10:V10" si="1">-4283-4284</f>
        <v>-8567</v>
      </c>
      <c r="V10">
        <f t="shared" si="1"/>
        <v>-8567</v>
      </c>
      <c r="W10" s="4">
        <v>-8567</v>
      </c>
    </row>
    <row r="11" spans="1:25" x14ac:dyDescent="0.25">
      <c r="A11" t="s">
        <v>4</v>
      </c>
      <c r="B11">
        <v>3953</v>
      </c>
      <c r="C11">
        <v>4283</v>
      </c>
      <c r="I11">
        <v>3443</v>
      </c>
      <c r="J11">
        <v>1979</v>
      </c>
      <c r="K11">
        <v>8553</v>
      </c>
      <c r="L11">
        <v>7757</v>
      </c>
      <c r="M11">
        <v>6631</v>
      </c>
      <c r="N11">
        <v>8351</v>
      </c>
      <c r="O11">
        <v>8567</v>
      </c>
      <c r="P11">
        <v>7511</v>
      </c>
      <c r="Q11">
        <v>8567</v>
      </c>
      <c r="S11">
        <v>8149</v>
      </c>
      <c r="T11">
        <v>8567</v>
      </c>
      <c r="U11">
        <f>4063+4063</f>
        <v>8126</v>
      </c>
      <c r="V11">
        <f>3222+3222</f>
        <v>6444</v>
      </c>
      <c r="W11" s="4">
        <v>8567</v>
      </c>
    </row>
    <row r="12" spans="1:25" x14ac:dyDescent="0.25">
      <c r="A12" t="s">
        <v>15</v>
      </c>
      <c r="C12">
        <v>3441</v>
      </c>
      <c r="D12">
        <v>3995</v>
      </c>
      <c r="E12">
        <v>5874</v>
      </c>
      <c r="F12">
        <v>6010</v>
      </c>
      <c r="G12">
        <v>6700</v>
      </c>
      <c r="H12">
        <v>6761</v>
      </c>
      <c r="K12">
        <v>2892</v>
      </c>
      <c r="L12">
        <v>1294</v>
      </c>
      <c r="N12">
        <v>3044</v>
      </c>
      <c r="O12">
        <v>5150</v>
      </c>
      <c r="P12">
        <v>938</v>
      </c>
      <c r="Q12">
        <v>3869</v>
      </c>
      <c r="R12">
        <v>5975</v>
      </c>
      <c r="S12">
        <v>1763</v>
      </c>
      <c r="T12">
        <v>6604</v>
      </c>
      <c r="U12">
        <v>4821</v>
      </c>
      <c r="V12">
        <v>2715</v>
      </c>
      <c r="W12" s="4">
        <v>3371</v>
      </c>
    </row>
    <row r="13" spans="1:25" x14ac:dyDescent="0.25">
      <c r="A13" t="s">
        <v>33</v>
      </c>
      <c r="C13">
        <v>900</v>
      </c>
      <c r="D13">
        <v>116</v>
      </c>
      <c r="E13">
        <v>1121</v>
      </c>
      <c r="F13">
        <v>116</v>
      </c>
      <c r="G13">
        <v>1121</v>
      </c>
      <c r="H13">
        <v>116</v>
      </c>
      <c r="K13">
        <v>2</v>
      </c>
      <c r="L13">
        <v>600</v>
      </c>
      <c r="M13">
        <v>600</v>
      </c>
      <c r="N13">
        <v>1200</v>
      </c>
      <c r="O13">
        <v>733</v>
      </c>
      <c r="P13">
        <v>1200</v>
      </c>
      <c r="Q13">
        <v>1200</v>
      </c>
      <c r="R13">
        <v>733</v>
      </c>
      <c r="S13">
        <v>1200</v>
      </c>
      <c r="T13">
        <v>0</v>
      </c>
      <c r="U13">
        <v>923</v>
      </c>
      <c r="V13">
        <v>1320</v>
      </c>
      <c r="W13" s="4">
        <v>433</v>
      </c>
    </row>
    <row r="14" spans="1:25" x14ac:dyDescent="0.25">
      <c r="A14" s="7" t="s">
        <v>5</v>
      </c>
      <c r="B14" s="8"/>
      <c r="C14" s="10">
        <v>1821</v>
      </c>
      <c r="D14" s="10">
        <v>1600</v>
      </c>
      <c r="E14" s="10">
        <v>3200</v>
      </c>
      <c r="F14" s="9">
        <v>1875</v>
      </c>
      <c r="G14" s="9">
        <v>3375</v>
      </c>
      <c r="H14" s="9">
        <v>1875</v>
      </c>
      <c r="I14" s="9"/>
      <c r="J14" s="9"/>
      <c r="K14" s="9">
        <v>1600</v>
      </c>
      <c r="L14" s="9">
        <v>2000</v>
      </c>
      <c r="M14" s="9">
        <v>2000</v>
      </c>
      <c r="N14" s="10">
        <v>3733</v>
      </c>
      <c r="O14" s="10">
        <v>3200</v>
      </c>
      <c r="P14" s="10">
        <v>4000</v>
      </c>
      <c r="Q14" s="10">
        <v>5333</v>
      </c>
      <c r="R14" s="10">
        <v>4800</v>
      </c>
      <c r="S14" s="10">
        <v>6000</v>
      </c>
      <c r="T14" s="10">
        <v>2625</v>
      </c>
      <c r="U14" s="13">
        <v>3200</v>
      </c>
      <c r="V14" s="9">
        <v>3873</v>
      </c>
      <c r="W14" s="10">
        <v>1600</v>
      </c>
    </row>
    <row r="15" spans="1:25" x14ac:dyDescent="0.25">
      <c r="A15" s="2" t="s">
        <v>6</v>
      </c>
      <c r="B15">
        <f>SUM(B6:B14)</f>
        <v>20837.5</v>
      </c>
      <c r="C15">
        <f>SUM(C6:C14)</f>
        <v>27771.5</v>
      </c>
      <c r="D15" s="6">
        <f t="shared" ref="D15:W15" si="2">SUM(D6:D14)</f>
        <v>19403.5</v>
      </c>
      <c r="E15" s="6">
        <f t="shared" si="2"/>
        <v>32043.5</v>
      </c>
      <c r="F15" s="6">
        <f t="shared" si="2"/>
        <v>21737.5</v>
      </c>
      <c r="G15" s="6">
        <f t="shared" si="2"/>
        <v>33162.5</v>
      </c>
      <c r="H15" s="6">
        <f t="shared" si="2"/>
        <v>22488.5</v>
      </c>
      <c r="I15" s="6">
        <f t="shared" si="2"/>
        <v>23934</v>
      </c>
      <c r="J15" s="6">
        <f t="shared" si="2"/>
        <v>30053</v>
      </c>
      <c r="K15" s="6">
        <f t="shared" si="2"/>
        <v>35518.5</v>
      </c>
      <c r="L15" s="6">
        <f t="shared" si="2"/>
        <v>41742.5</v>
      </c>
      <c r="M15" s="6">
        <f t="shared" si="2"/>
        <v>46876.5</v>
      </c>
      <c r="N15" s="6">
        <f t="shared" si="2"/>
        <v>46771.5</v>
      </c>
      <c r="O15" s="6">
        <f t="shared" si="2"/>
        <v>40293.5</v>
      </c>
      <c r="P15" s="6">
        <f t="shared" si="2"/>
        <v>51646.5</v>
      </c>
      <c r="Q15" s="6">
        <f t="shared" si="2"/>
        <v>49585.5</v>
      </c>
      <c r="R15" s="6">
        <f t="shared" si="2"/>
        <v>42891.5</v>
      </c>
      <c r="S15" s="6">
        <f t="shared" si="2"/>
        <v>55282.5</v>
      </c>
      <c r="T15" s="6">
        <f t="shared" si="2"/>
        <v>41068.5</v>
      </c>
      <c r="U15" s="6">
        <f t="shared" si="2"/>
        <v>48398.5</v>
      </c>
      <c r="V15" s="6">
        <f t="shared" si="2"/>
        <v>53389.5</v>
      </c>
      <c r="W15" s="6">
        <f t="shared" si="2"/>
        <v>34054</v>
      </c>
    </row>
    <row r="16" spans="1:25" x14ac:dyDescent="0.25">
      <c r="A16" s="2"/>
      <c r="D16" s="3"/>
      <c r="E16" s="3"/>
      <c r="W16" s="4"/>
    </row>
    <row r="17" spans="1:23" x14ac:dyDescent="0.25">
      <c r="A17" s="2" t="s">
        <v>7</v>
      </c>
      <c r="D17" s="3"/>
      <c r="E17" s="3"/>
      <c r="W17" s="4"/>
    </row>
    <row r="18" spans="1:23" x14ac:dyDescent="0.25">
      <c r="A18" s="2" t="s">
        <v>9</v>
      </c>
      <c r="C18" s="6">
        <f>+C88</f>
        <v>2750.3999999999996</v>
      </c>
      <c r="D18" s="6">
        <f t="shared" ref="D18:H18" si="3">+D88</f>
        <v>6129.6</v>
      </c>
      <c r="E18" s="6">
        <f t="shared" si="3"/>
        <v>5502</v>
      </c>
      <c r="F18" s="6">
        <f t="shared" si="3"/>
        <v>8913.5999999999985</v>
      </c>
      <c r="G18" s="6">
        <f t="shared" si="3"/>
        <v>8058</v>
      </c>
      <c r="H18">
        <f t="shared" si="3"/>
        <v>11444.400000000001</v>
      </c>
      <c r="O18" s="6">
        <f t="shared" ref="O18:T18" si="4">+O88</f>
        <v>5478.0000000000018</v>
      </c>
      <c r="Q18" s="6">
        <f t="shared" si="4"/>
        <v>4272.5999999999995</v>
      </c>
      <c r="R18" s="6">
        <f t="shared" si="4"/>
        <v>7842.6000000000022</v>
      </c>
      <c r="T18" s="6">
        <f t="shared" si="4"/>
        <v>5476.8000000000011</v>
      </c>
      <c r="W18" s="6">
        <f t="shared" ref="W18" si="5">+W88</f>
        <v>3012.6000000000022</v>
      </c>
    </row>
    <row r="19" spans="1:23" x14ac:dyDescent="0.25">
      <c r="A19" s="2" t="s">
        <v>10</v>
      </c>
      <c r="C19">
        <v>312</v>
      </c>
      <c r="D19" s="4">
        <v>312</v>
      </c>
      <c r="E19" s="4">
        <v>624</v>
      </c>
      <c r="F19">
        <v>624</v>
      </c>
      <c r="G19">
        <v>624</v>
      </c>
      <c r="H19">
        <v>624</v>
      </c>
      <c r="K19">
        <v>312</v>
      </c>
      <c r="L19">
        <v>312</v>
      </c>
      <c r="N19">
        <v>624</v>
      </c>
      <c r="O19">
        <v>624</v>
      </c>
      <c r="P19">
        <v>624</v>
      </c>
      <c r="Q19">
        <v>624</v>
      </c>
      <c r="R19">
        <v>624</v>
      </c>
      <c r="S19">
        <v>624</v>
      </c>
      <c r="T19">
        <v>624</v>
      </c>
      <c r="U19">
        <v>624</v>
      </c>
      <c r="V19">
        <v>624</v>
      </c>
      <c r="W19" s="4">
        <v>312</v>
      </c>
    </row>
    <row r="20" spans="1:23" x14ac:dyDescent="0.25">
      <c r="A20" s="2" t="s">
        <v>11</v>
      </c>
      <c r="D20" s="4"/>
      <c r="E20" s="4"/>
      <c r="W20" s="4"/>
    </row>
    <row r="21" spans="1:23" x14ac:dyDescent="0.25">
      <c r="A21" s="2" t="s">
        <v>77</v>
      </c>
      <c r="C21">
        <f>SUM((8729-C13)-(C6*0.07))</f>
        <v>6079</v>
      </c>
      <c r="D21" s="12">
        <f>SUM(((8729*0.75)-D13))-(D6*0.07)</f>
        <v>5380.75</v>
      </c>
      <c r="E21" s="4">
        <f>SUM(((8729*2)-E13))-(E6*0.07)</f>
        <v>14587</v>
      </c>
      <c r="F21" s="12">
        <f>SUM(((8729*2*0.75)-F13))-(F6*0.07)</f>
        <v>11927.5</v>
      </c>
      <c r="G21" s="4">
        <f>SUM(((8729*2)-G13))-(G6*0.07)</f>
        <v>14587</v>
      </c>
      <c r="H21" s="12">
        <f>SUM(((8729*2*0.75)-H13))-(H6*0.07)</f>
        <v>11927.5</v>
      </c>
      <c r="K21" s="12">
        <f>SUM((8729 * 0.75)-K13)-(K6*0.07)</f>
        <v>4094.7499999999995</v>
      </c>
      <c r="L21" s="12"/>
      <c r="M21" s="12"/>
      <c r="N21" s="12">
        <f>SUM(((8729*2*0.75)-N13))-(N6*0.07)</f>
        <v>8743.5</v>
      </c>
      <c r="O21" s="12">
        <f>SUM(((8729*2*0.75)-O13))-(O6*0.07)</f>
        <v>9910.5</v>
      </c>
      <c r="P21" s="4"/>
      <c r="Q21" s="12">
        <f>SUM(((8729*2*0.75)-Q13))-(Q6*0.07)</f>
        <v>8743.5</v>
      </c>
      <c r="R21" s="12">
        <f>SUM(((8729*2*0.75)-R13))-(R6*0.07)</f>
        <v>9910.5</v>
      </c>
      <c r="S21" s="12">
        <f>SUM(((8729*2*0.75)-S13))-(S6*0.07)</f>
        <v>8043.5</v>
      </c>
      <c r="T21" s="12">
        <f>SUM(((8729*2*0.75)-T13))-(T6*0.07)</f>
        <v>10643.5</v>
      </c>
      <c r="U21" s="12">
        <f>SUM(((8729*2*0.75)-U13))-(U6*0.07)</f>
        <v>9020.5</v>
      </c>
      <c r="V21" s="4"/>
      <c r="W21" s="12">
        <f>SUM((8729 * 0.75)-W13)-(W6*0.07)</f>
        <v>3873.75</v>
      </c>
    </row>
    <row r="22" spans="1:23" x14ac:dyDescent="0.25">
      <c r="A22" s="2" t="s">
        <v>12</v>
      </c>
      <c r="B22">
        <v>350</v>
      </c>
      <c r="C22">
        <v>350</v>
      </c>
      <c r="D22" s="4">
        <v>450</v>
      </c>
      <c r="E22" s="4">
        <v>450</v>
      </c>
      <c r="F22">
        <v>450</v>
      </c>
      <c r="G22">
        <v>450</v>
      </c>
      <c r="H22">
        <v>450</v>
      </c>
      <c r="K22">
        <v>350</v>
      </c>
      <c r="N22">
        <v>350</v>
      </c>
      <c r="O22">
        <v>350</v>
      </c>
      <c r="Q22">
        <v>350</v>
      </c>
      <c r="R22">
        <v>450</v>
      </c>
      <c r="S22">
        <v>350</v>
      </c>
      <c r="T22">
        <v>350</v>
      </c>
      <c r="U22">
        <v>350</v>
      </c>
      <c r="W22" s="4">
        <v>350</v>
      </c>
    </row>
    <row r="23" spans="1:23" x14ac:dyDescent="0.25">
      <c r="A23" s="2" t="s">
        <v>13</v>
      </c>
      <c r="D23" s="3"/>
      <c r="E23" s="3"/>
      <c r="F23" s="3"/>
      <c r="G23" s="3"/>
      <c r="H23" s="3" t="s">
        <v>61</v>
      </c>
      <c r="Q23" s="3" t="s">
        <v>61</v>
      </c>
      <c r="R23" s="3" t="s">
        <v>61</v>
      </c>
      <c r="S23" t="s">
        <v>88</v>
      </c>
      <c r="V23" t="s">
        <v>39</v>
      </c>
      <c r="W23" s="4"/>
    </row>
    <row r="24" spans="1:23" x14ac:dyDescent="0.25">
      <c r="A24" s="2" t="s">
        <v>14</v>
      </c>
      <c r="D24" s="4"/>
      <c r="E24" s="4"/>
      <c r="H24" s="3" t="s">
        <v>61</v>
      </c>
      <c r="Q24" s="3" t="s">
        <v>61</v>
      </c>
      <c r="R24" s="3" t="s">
        <v>61</v>
      </c>
      <c r="S24" t="s">
        <v>88</v>
      </c>
      <c r="W24" s="4"/>
    </row>
    <row r="25" spans="1:23" x14ac:dyDescent="0.25">
      <c r="A25" s="2" t="s">
        <v>26</v>
      </c>
      <c r="C25">
        <v>600</v>
      </c>
      <c r="D25" s="4">
        <v>600</v>
      </c>
      <c r="E25" s="4">
        <v>600</v>
      </c>
      <c r="F25">
        <v>600</v>
      </c>
      <c r="G25">
        <v>600</v>
      </c>
      <c r="H25">
        <v>600</v>
      </c>
      <c r="O25">
        <v>960</v>
      </c>
      <c r="Q25">
        <v>960</v>
      </c>
      <c r="R25">
        <v>960</v>
      </c>
      <c r="T25">
        <v>960</v>
      </c>
      <c r="W25" s="4">
        <v>960</v>
      </c>
    </row>
    <row r="26" spans="1:23" x14ac:dyDescent="0.25">
      <c r="A26" s="2" t="s">
        <v>16</v>
      </c>
      <c r="D26" s="4"/>
      <c r="E26" s="4"/>
      <c r="W26" s="4"/>
    </row>
    <row r="27" spans="1:23" x14ac:dyDescent="0.25">
      <c r="A27" s="2" t="s">
        <v>17</v>
      </c>
      <c r="D27" s="3"/>
      <c r="E27" s="3"/>
      <c r="W27" s="4"/>
    </row>
    <row r="28" spans="1:23" x14ac:dyDescent="0.25">
      <c r="A28" s="2" t="s">
        <v>18</v>
      </c>
      <c r="B28">
        <v>-9000</v>
      </c>
      <c r="C28">
        <v>-12000</v>
      </c>
      <c r="D28">
        <v>-12000</v>
      </c>
      <c r="E28">
        <v>-12000</v>
      </c>
      <c r="F28">
        <v>-12000</v>
      </c>
      <c r="G28">
        <v>-12000</v>
      </c>
      <c r="H28">
        <v>-12000</v>
      </c>
      <c r="I28">
        <v>-9000</v>
      </c>
      <c r="J28">
        <v>-9000</v>
      </c>
      <c r="K28">
        <v>-12000</v>
      </c>
      <c r="L28">
        <v>-12000</v>
      </c>
      <c r="M28">
        <v>-12000</v>
      </c>
      <c r="N28">
        <v>-15000</v>
      </c>
      <c r="O28">
        <v>-15000</v>
      </c>
      <c r="P28">
        <v>-15000</v>
      </c>
      <c r="Q28">
        <v>-15000</v>
      </c>
      <c r="R28">
        <v>-15000</v>
      </c>
      <c r="S28">
        <v>-15000</v>
      </c>
      <c r="T28">
        <v>-15000</v>
      </c>
      <c r="U28">
        <v>-15000</v>
      </c>
      <c r="V28">
        <v>-15000</v>
      </c>
      <c r="W28">
        <v>-12000</v>
      </c>
    </row>
    <row r="29" spans="1:23" x14ac:dyDescent="0.25">
      <c r="A29" s="2" t="s">
        <v>19</v>
      </c>
      <c r="B29">
        <v>-6000</v>
      </c>
      <c r="C29">
        <v>-6000</v>
      </c>
      <c r="D29">
        <v>-6000</v>
      </c>
      <c r="E29">
        <v>-6000</v>
      </c>
      <c r="F29">
        <v>-6000</v>
      </c>
      <c r="G29">
        <v>-6000</v>
      </c>
      <c r="H29">
        <v>-6000</v>
      </c>
      <c r="I29">
        <v>-6000</v>
      </c>
      <c r="J29">
        <v>-6000</v>
      </c>
      <c r="K29">
        <v>-10000</v>
      </c>
      <c r="L29">
        <v>-10000</v>
      </c>
      <c r="M29">
        <v>-10000</v>
      </c>
      <c r="N29">
        <v>-10000</v>
      </c>
      <c r="O29">
        <v>-10000</v>
      </c>
      <c r="P29">
        <v>-10000</v>
      </c>
      <c r="Q29">
        <v>-10000</v>
      </c>
      <c r="R29">
        <v>-10000</v>
      </c>
      <c r="S29">
        <v>-10000</v>
      </c>
      <c r="T29">
        <v>-10000</v>
      </c>
      <c r="U29">
        <v>-10000</v>
      </c>
      <c r="V29">
        <v>-10000</v>
      </c>
      <c r="W29">
        <v>-10000</v>
      </c>
    </row>
    <row r="30" spans="1:23" x14ac:dyDescent="0.25">
      <c r="A30" s="2" t="s">
        <v>20</v>
      </c>
      <c r="B30">
        <v>-1200</v>
      </c>
      <c r="C30">
        <v>-2400</v>
      </c>
      <c r="D30">
        <v>-2400</v>
      </c>
      <c r="E30">
        <v>-2400</v>
      </c>
      <c r="F30">
        <v>-2400</v>
      </c>
      <c r="G30">
        <v>-2400</v>
      </c>
      <c r="H30">
        <v>-2400</v>
      </c>
      <c r="I30">
        <v>-1200</v>
      </c>
      <c r="J30">
        <v>-1200</v>
      </c>
      <c r="K30">
        <v>-2400</v>
      </c>
      <c r="L30">
        <v>-2400</v>
      </c>
      <c r="M30">
        <v>-2400</v>
      </c>
      <c r="N30">
        <v>-2700</v>
      </c>
      <c r="O30">
        <v>-2700</v>
      </c>
      <c r="P30">
        <v>-2700</v>
      </c>
      <c r="Q30">
        <v>-2700</v>
      </c>
      <c r="R30">
        <v>-2700</v>
      </c>
      <c r="S30">
        <v>-2700</v>
      </c>
      <c r="T30">
        <v>-2700</v>
      </c>
      <c r="U30">
        <v>-2700</v>
      </c>
      <c r="V30">
        <v>-2700</v>
      </c>
      <c r="W30">
        <v>-2400</v>
      </c>
    </row>
    <row r="31" spans="1:23" x14ac:dyDescent="0.25">
      <c r="A31" s="2" t="s">
        <v>21</v>
      </c>
      <c r="B31">
        <v>-5400</v>
      </c>
      <c r="C31" s="4">
        <v>-6600</v>
      </c>
      <c r="D31" s="4">
        <v>-6600</v>
      </c>
      <c r="E31" s="4">
        <v>-7200</v>
      </c>
      <c r="F31" s="4">
        <v>-7200</v>
      </c>
      <c r="G31" s="4">
        <v>-7800</v>
      </c>
      <c r="H31" s="4">
        <v>-7800</v>
      </c>
      <c r="I31" s="4">
        <v>-5400</v>
      </c>
      <c r="J31" s="4">
        <v>-5400</v>
      </c>
      <c r="K31" s="4">
        <v>-12000</v>
      </c>
      <c r="L31" s="4">
        <v>-12000</v>
      </c>
      <c r="M31" s="4">
        <v>-12000</v>
      </c>
      <c r="N31" s="4">
        <v>-13200</v>
      </c>
      <c r="O31" s="4">
        <v>-13200</v>
      </c>
      <c r="P31" s="4">
        <f>-13200</f>
        <v>-13200</v>
      </c>
      <c r="Q31" s="4">
        <f>-14400+ (200*4)</f>
        <v>-13600</v>
      </c>
      <c r="R31" s="4">
        <f>-14400+ (200*4)</f>
        <v>-13600</v>
      </c>
      <c r="S31" s="4">
        <f>-14400+ (200*3)</f>
        <v>-13800</v>
      </c>
      <c r="T31" s="4">
        <v>-13200</v>
      </c>
      <c r="U31" s="4">
        <v>-13200</v>
      </c>
      <c r="V31" s="4">
        <v>-13200</v>
      </c>
      <c r="W31" s="4">
        <v>-12000</v>
      </c>
    </row>
    <row r="32" spans="1:23" x14ac:dyDescent="0.25">
      <c r="A32" s="2" t="s">
        <v>22</v>
      </c>
      <c r="B32">
        <v>-600</v>
      </c>
      <c r="C32" s="4">
        <v>-120</v>
      </c>
      <c r="D32" s="4">
        <v>-120</v>
      </c>
      <c r="E32">
        <v>-180</v>
      </c>
      <c r="F32">
        <v>-180</v>
      </c>
      <c r="G32">
        <v>-240</v>
      </c>
      <c r="H32">
        <v>-240</v>
      </c>
      <c r="I32">
        <v>-600</v>
      </c>
      <c r="J32">
        <v>-600</v>
      </c>
      <c r="K32">
        <v>-180</v>
      </c>
      <c r="L32">
        <v>-180</v>
      </c>
      <c r="M32">
        <v>-180</v>
      </c>
      <c r="N32">
        <v>-240</v>
      </c>
      <c r="O32">
        <v>-240</v>
      </c>
      <c r="P32">
        <v>-240</v>
      </c>
      <c r="Q32">
        <v>-300</v>
      </c>
      <c r="R32">
        <v>-300</v>
      </c>
      <c r="S32">
        <v>-300</v>
      </c>
      <c r="T32">
        <v>-240</v>
      </c>
      <c r="U32">
        <v>-240</v>
      </c>
      <c r="V32">
        <v>-240</v>
      </c>
      <c r="W32">
        <v>-180</v>
      </c>
    </row>
    <row r="33" spans="1:23" x14ac:dyDescent="0.25">
      <c r="A33" s="2" t="s">
        <v>34</v>
      </c>
      <c r="C33" s="6">
        <f>-8729</f>
        <v>-8729</v>
      </c>
      <c r="D33" s="6">
        <f>-8729*0.75</f>
        <v>-6546.75</v>
      </c>
      <c r="E33" s="6">
        <f>-(8729*2)</f>
        <v>-17458</v>
      </c>
      <c r="F33" s="6">
        <f>-(8729*2*0.75)</f>
        <v>-13093.5</v>
      </c>
      <c r="G33" s="6">
        <f>-(8729*2)</f>
        <v>-17458</v>
      </c>
      <c r="H33" s="6">
        <f>-(8729*0.75*2)</f>
        <v>-13093.5</v>
      </c>
      <c r="K33" s="6">
        <f>-8729*0.75</f>
        <v>-6546.75</v>
      </c>
      <c r="L33" s="6">
        <f t="shared" ref="L33:M33" si="6">-8729*0.75</f>
        <v>-6546.75</v>
      </c>
      <c r="M33" s="6">
        <f t="shared" si="6"/>
        <v>-6546.75</v>
      </c>
      <c r="N33" s="6">
        <f t="shared" ref="N33:V33" si="7">-(8729*2*0.75)</f>
        <v>-13093.5</v>
      </c>
      <c r="O33" s="6">
        <f t="shared" si="7"/>
        <v>-13093.5</v>
      </c>
      <c r="P33" s="6">
        <f t="shared" si="7"/>
        <v>-13093.5</v>
      </c>
      <c r="Q33" s="6">
        <f t="shared" si="7"/>
        <v>-13093.5</v>
      </c>
      <c r="R33" s="6">
        <f t="shared" si="7"/>
        <v>-13093.5</v>
      </c>
      <c r="S33" s="6">
        <f t="shared" si="7"/>
        <v>-13093.5</v>
      </c>
      <c r="T33" s="6">
        <f t="shared" si="7"/>
        <v>-13093.5</v>
      </c>
      <c r="U33" s="6">
        <f t="shared" si="7"/>
        <v>-13093.5</v>
      </c>
      <c r="V33" s="6">
        <f t="shared" si="7"/>
        <v>-13093.5</v>
      </c>
      <c r="W33" s="6">
        <f>-8729*0.75</f>
        <v>-6546.75</v>
      </c>
    </row>
    <row r="34" spans="1:23" x14ac:dyDescent="0.25">
      <c r="A34" s="2" t="s">
        <v>23</v>
      </c>
      <c r="B34">
        <v>-2400</v>
      </c>
      <c r="C34">
        <v>-3000</v>
      </c>
      <c r="D34">
        <v>-3000</v>
      </c>
      <c r="E34">
        <v>-3600</v>
      </c>
      <c r="F34">
        <v>-3600</v>
      </c>
      <c r="G34">
        <v>-4200</v>
      </c>
      <c r="H34">
        <v>-4200</v>
      </c>
      <c r="I34">
        <v>-2400</v>
      </c>
      <c r="J34">
        <v>-2400</v>
      </c>
      <c r="K34">
        <v>-5400</v>
      </c>
      <c r="L34">
        <v>-5400</v>
      </c>
      <c r="M34">
        <v>-5400</v>
      </c>
      <c r="N34">
        <v>-6000</v>
      </c>
      <c r="O34">
        <v>-6600</v>
      </c>
      <c r="P34">
        <v>-6000</v>
      </c>
      <c r="Q34">
        <v>-6600</v>
      </c>
      <c r="R34">
        <v>-6600</v>
      </c>
      <c r="S34">
        <v>-6600</v>
      </c>
      <c r="T34">
        <v>-6000</v>
      </c>
      <c r="U34">
        <v>-6000</v>
      </c>
      <c r="V34">
        <v>-6000</v>
      </c>
      <c r="W34">
        <v>-5400</v>
      </c>
    </row>
    <row r="35" spans="1:23" x14ac:dyDescent="0.25">
      <c r="A35" s="2" t="s">
        <v>78</v>
      </c>
      <c r="B35">
        <v>-600</v>
      </c>
      <c r="C35">
        <v>-600</v>
      </c>
      <c r="D35">
        <v>-600</v>
      </c>
      <c r="E35">
        <v>-600</v>
      </c>
      <c r="F35">
        <v>-600</v>
      </c>
      <c r="G35">
        <v>-600</v>
      </c>
      <c r="H35">
        <v>-600</v>
      </c>
      <c r="I35">
        <v>-600</v>
      </c>
      <c r="J35">
        <v>-600</v>
      </c>
      <c r="K35">
        <v>-960</v>
      </c>
      <c r="L35">
        <v>-960</v>
      </c>
      <c r="M35">
        <v>-960</v>
      </c>
      <c r="N35">
        <v>-960</v>
      </c>
      <c r="O35">
        <v>-960</v>
      </c>
      <c r="P35">
        <v>-960</v>
      </c>
      <c r="Q35">
        <v>-960</v>
      </c>
      <c r="R35">
        <v>-960</v>
      </c>
      <c r="S35">
        <v>-960</v>
      </c>
      <c r="T35">
        <v>-960</v>
      </c>
      <c r="U35">
        <v>-960</v>
      </c>
      <c r="V35">
        <v>-960</v>
      </c>
      <c r="W35">
        <v>-960</v>
      </c>
    </row>
    <row r="36" spans="1:23" x14ac:dyDescent="0.25">
      <c r="A36" s="2" t="s">
        <v>85</v>
      </c>
      <c r="B36" s="6">
        <f t="shared" ref="B36:G36" si="8">SUM(B15:B35)</f>
        <v>-4012.5</v>
      </c>
      <c r="C36" s="6">
        <f t="shared" si="8"/>
        <v>-1586.0999999999985</v>
      </c>
      <c r="D36" s="6">
        <f t="shared" si="8"/>
        <v>-4990.9000000000015</v>
      </c>
      <c r="E36" s="6">
        <f t="shared" si="8"/>
        <v>4368.5</v>
      </c>
      <c r="F36" s="6">
        <f t="shared" si="8"/>
        <v>-820.90000000000146</v>
      </c>
      <c r="G36" s="6">
        <f t="shared" si="8"/>
        <v>6783.5</v>
      </c>
      <c r="H36" s="6">
        <f>SUM(H15:H35)</f>
        <v>1200.9000000000015</v>
      </c>
      <c r="I36" s="6">
        <f>SUM(I15:I35)</f>
        <v>-1266</v>
      </c>
      <c r="J36" s="6">
        <f>SUM(J15:J35)</f>
        <v>4853</v>
      </c>
      <c r="K36" s="6">
        <f t="shared" ref="K36:W36" si="9">SUM(K15:K35)</f>
        <v>-9211.5</v>
      </c>
      <c r="L36" s="6">
        <f t="shared" si="9"/>
        <v>-7432.25</v>
      </c>
      <c r="M36" s="6">
        <f t="shared" si="9"/>
        <v>-2610.25</v>
      </c>
      <c r="N36" s="6">
        <f t="shared" si="9"/>
        <v>-4704.5</v>
      </c>
      <c r="O36" s="6">
        <f t="shared" si="9"/>
        <v>-4177.5</v>
      </c>
      <c r="P36" s="6">
        <f t="shared" si="9"/>
        <v>-8923</v>
      </c>
      <c r="Q36" s="6">
        <f t="shared" si="9"/>
        <v>2282.0999999999985</v>
      </c>
      <c r="R36" s="6">
        <f t="shared" si="9"/>
        <v>425.10000000000582</v>
      </c>
      <c r="S36" s="6">
        <f t="shared" si="9"/>
        <v>1846.5</v>
      </c>
      <c r="T36" s="6">
        <f t="shared" si="9"/>
        <v>-2070.6999999999971</v>
      </c>
      <c r="U36" s="6">
        <f t="shared" si="9"/>
        <v>-2800.5</v>
      </c>
      <c r="V36" s="6">
        <f t="shared" si="9"/>
        <v>-7180</v>
      </c>
      <c r="W36" s="6">
        <f t="shared" si="9"/>
        <v>-6924.3999999999942</v>
      </c>
    </row>
    <row r="37" spans="1:23" x14ac:dyDescent="0.25">
      <c r="A37" s="2"/>
      <c r="D37" s="3"/>
      <c r="E37" s="3"/>
      <c r="W37" s="4"/>
    </row>
    <row r="38" spans="1:23" x14ac:dyDescent="0.25">
      <c r="A38" s="2" t="s">
        <v>42</v>
      </c>
      <c r="B38">
        <f>+C28+C30-B28-B30</f>
        <v>-4200</v>
      </c>
      <c r="D38" s="3"/>
      <c r="E38" s="3"/>
      <c r="I38">
        <f>+C28+C30-I28-I30</f>
        <v>-4200</v>
      </c>
      <c r="J38">
        <f>+C28+C30-J28-J30</f>
        <v>-4200</v>
      </c>
      <c r="W38" s="4"/>
    </row>
    <row r="39" spans="1:23" x14ac:dyDescent="0.25">
      <c r="A39" s="2" t="s">
        <v>43</v>
      </c>
      <c r="B39" s="6">
        <f>+B36+B38</f>
        <v>-8212.5</v>
      </c>
      <c r="D39" s="3"/>
      <c r="E39" s="3"/>
      <c r="I39" s="6">
        <f t="shared" ref="I39:J39" si="10">+I36+I38</f>
        <v>-5466</v>
      </c>
      <c r="J39" s="6">
        <f t="shared" si="10"/>
        <v>653</v>
      </c>
      <c r="W39" s="4"/>
    </row>
    <row r="40" spans="1:23" x14ac:dyDescent="0.25">
      <c r="A40" s="2"/>
      <c r="B40" s="6"/>
      <c r="D40" s="3"/>
      <c r="E40" s="3"/>
      <c r="I40" s="6"/>
      <c r="J40" s="6"/>
      <c r="W40" s="4"/>
    </row>
    <row r="41" spans="1:23" x14ac:dyDescent="0.25">
      <c r="A41" s="2" t="s">
        <v>84</v>
      </c>
      <c r="B41" s="6"/>
      <c r="C41">
        <f>-C21*0.5</f>
        <v>-3039.5</v>
      </c>
      <c r="D41">
        <f t="shared" ref="D41:H41" si="11">-D21*0.5</f>
        <v>-2690.375</v>
      </c>
      <c r="E41">
        <f t="shared" si="11"/>
        <v>-7293.5</v>
      </c>
      <c r="F41" s="6">
        <f t="shared" si="11"/>
        <v>-5963.75</v>
      </c>
      <c r="G41">
        <f t="shared" si="11"/>
        <v>-7293.5</v>
      </c>
      <c r="H41">
        <f t="shared" si="11"/>
        <v>-5963.75</v>
      </c>
      <c r="I41" s="6"/>
      <c r="J41" s="6"/>
      <c r="K41">
        <f>-K21*0.5</f>
        <v>-2047.3749999999998</v>
      </c>
      <c r="N41">
        <f t="shared" ref="N41:O41" si="12">-N21*0.5</f>
        <v>-4371.75</v>
      </c>
      <c r="O41">
        <f t="shared" si="12"/>
        <v>-4955.25</v>
      </c>
      <c r="Q41">
        <f t="shared" ref="Q41:U41" si="13">-Q21*0.5</f>
        <v>-4371.75</v>
      </c>
      <c r="R41">
        <f t="shared" si="13"/>
        <v>-4955.25</v>
      </c>
      <c r="S41">
        <f t="shared" si="13"/>
        <v>-4021.75</v>
      </c>
      <c r="T41">
        <f t="shared" si="13"/>
        <v>-5321.75</v>
      </c>
      <c r="U41">
        <f t="shared" si="13"/>
        <v>-4510.25</v>
      </c>
      <c r="W41">
        <f t="shared" ref="W41" si="14">-W21*0.5</f>
        <v>-1936.875</v>
      </c>
    </row>
    <row r="42" spans="1:23" x14ac:dyDescent="0.25">
      <c r="A42" s="2" t="s">
        <v>86</v>
      </c>
      <c r="B42" s="6"/>
      <c r="C42" s="6">
        <f>+C36+C41</f>
        <v>-4625.5999999999985</v>
      </c>
      <c r="D42" s="6">
        <f t="shared" ref="D42:H42" si="15">+D36+D41</f>
        <v>-7681.2750000000015</v>
      </c>
      <c r="E42" s="6">
        <f t="shared" si="15"/>
        <v>-2925</v>
      </c>
      <c r="F42" s="6">
        <f t="shared" si="15"/>
        <v>-6784.6500000000015</v>
      </c>
      <c r="G42" s="6">
        <f t="shared" si="15"/>
        <v>-510</v>
      </c>
      <c r="H42" s="6">
        <f t="shared" si="15"/>
        <v>-4762.8499999999985</v>
      </c>
      <c r="I42" s="6"/>
      <c r="J42" s="6"/>
      <c r="K42" s="6">
        <f>+K36+K41</f>
        <v>-11258.875</v>
      </c>
      <c r="N42" s="6">
        <f t="shared" ref="N42:O42" si="16">+N36+N41</f>
        <v>-9076.25</v>
      </c>
      <c r="O42" s="6">
        <f t="shared" si="16"/>
        <v>-9132.75</v>
      </c>
      <c r="Q42" s="6">
        <f t="shared" ref="Q42:U42" si="17">+Q36+Q41</f>
        <v>-2089.6500000000015</v>
      </c>
      <c r="R42" s="6">
        <f t="shared" si="17"/>
        <v>-4530.1499999999942</v>
      </c>
      <c r="S42" s="6">
        <f t="shared" si="17"/>
        <v>-2175.25</v>
      </c>
      <c r="T42" s="6">
        <f t="shared" si="17"/>
        <v>-7392.4499999999971</v>
      </c>
      <c r="U42" s="6">
        <f t="shared" si="17"/>
        <v>-7310.75</v>
      </c>
      <c r="W42" s="6">
        <f t="shared" ref="W42" si="18">+W36+W41</f>
        <v>-8861.2749999999942</v>
      </c>
    </row>
    <row r="43" spans="1:23" x14ac:dyDescent="0.25">
      <c r="A43" s="2"/>
      <c r="B43" s="6"/>
      <c r="C43" s="6"/>
      <c r="D43" s="6"/>
      <c r="E43" s="6"/>
      <c r="F43" s="6"/>
      <c r="G43" s="6"/>
      <c r="H43" s="6"/>
      <c r="I43" s="6"/>
      <c r="J43" s="6"/>
      <c r="K43" s="6"/>
      <c r="N43" s="6"/>
      <c r="O43" s="6"/>
      <c r="Q43" s="6"/>
      <c r="R43" s="6"/>
      <c r="S43" s="6"/>
      <c r="T43" s="6"/>
      <c r="U43" s="6"/>
      <c r="W43" s="6"/>
    </row>
    <row r="44" spans="1:23" x14ac:dyDescent="0.25">
      <c r="A44" s="2" t="s">
        <v>89</v>
      </c>
      <c r="B44" s="6">
        <f>+B36-B21</f>
        <v>-4012.5</v>
      </c>
      <c r="C44" s="6">
        <f>+C36-C21</f>
        <v>-7665.0999999999985</v>
      </c>
      <c r="D44" s="6">
        <f t="shared" ref="D44:W44" si="19">+D36-D21</f>
        <v>-10371.650000000001</v>
      </c>
      <c r="E44" s="6">
        <f t="shared" si="19"/>
        <v>-10218.5</v>
      </c>
      <c r="F44" s="6">
        <f t="shared" si="19"/>
        <v>-12748.400000000001</v>
      </c>
      <c r="G44" s="6">
        <f t="shared" si="19"/>
        <v>-7803.5</v>
      </c>
      <c r="H44" s="6">
        <f t="shared" si="19"/>
        <v>-10726.599999999999</v>
      </c>
      <c r="I44" s="6">
        <f t="shared" si="19"/>
        <v>-1266</v>
      </c>
      <c r="J44" s="6">
        <f t="shared" si="19"/>
        <v>4853</v>
      </c>
      <c r="K44" s="6">
        <f t="shared" si="19"/>
        <v>-13306.25</v>
      </c>
      <c r="L44" s="6">
        <f t="shared" si="19"/>
        <v>-7432.25</v>
      </c>
      <c r="M44" s="6">
        <f t="shared" si="19"/>
        <v>-2610.25</v>
      </c>
      <c r="N44" s="6">
        <f t="shared" si="19"/>
        <v>-13448</v>
      </c>
      <c r="O44" s="6">
        <f t="shared" si="19"/>
        <v>-14088</v>
      </c>
      <c r="P44" s="6">
        <f t="shared" si="19"/>
        <v>-8923</v>
      </c>
      <c r="Q44" s="6">
        <f t="shared" si="19"/>
        <v>-6461.4000000000015</v>
      </c>
      <c r="R44" s="6">
        <f t="shared" si="19"/>
        <v>-9485.3999999999942</v>
      </c>
      <c r="S44" s="6">
        <f t="shared" si="19"/>
        <v>-6197</v>
      </c>
      <c r="T44" s="6">
        <f t="shared" si="19"/>
        <v>-12714.199999999997</v>
      </c>
      <c r="U44" s="6">
        <f t="shared" si="19"/>
        <v>-11821</v>
      </c>
      <c r="V44" s="6">
        <f t="shared" si="19"/>
        <v>-7180</v>
      </c>
      <c r="W44" s="6">
        <f t="shared" si="19"/>
        <v>-10798.149999999994</v>
      </c>
    </row>
    <row r="45" spans="1:23" x14ac:dyDescent="0.25">
      <c r="A45" s="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5" t="s">
        <v>108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" t="s">
        <v>90</v>
      </c>
      <c r="B47" s="6"/>
      <c r="C47" s="6">
        <f>-C13</f>
        <v>-900</v>
      </c>
      <c r="D47" s="6">
        <f t="shared" ref="D47:W47" si="20">-D13</f>
        <v>-116</v>
      </c>
      <c r="E47" s="6">
        <f t="shared" si="20"/>
        <v>-1121</v>
      </c>
      <c r="F47" s="6">
        <f t="shared" si="20"/>
        <v>-116</v>
      </c>
      <c r="G47" s="6">
        <f t="shared" si="20"/>
        <v>-1121</v>
      </c>
      <c r="H47" s="6">
        <f t="shared" si="20"/>
        <v>-116</v>
      </c>
      <c r="I47" s="6">
        <f t="shared" si="20"/>
        <v>0</v>
      </c>
      <c r="J47" s="6">
        <f t="shared" si="20"/>
        <v>0</v>
      </c>
      <c r="K47" s="6">
        <f t="shared" si="20"/>
        <v>-2</v>
      </c>
      <c r="L47" s="6">
        <f t="shared" si="20"/>
        <v>-600</v>
      </c>
      <c r="M47" s="6">
        <f t="shared" si="20"/>
        <v>-600</v>
      </c>
      <c r="N47" s="6">
        <f t="shared" si="20"/>
        <v>-1200</v>
      </c>
      <c r="O47" s="6">
        <f t="shared" si="20"/>
        <v>-733</v>
      </c>
      <c r="P47" s="6">
        <f t="shared" si="20"/>
        <v>-1200</v>
      </c>
      <c r="Q47" s="6">
        <f t="shared" si="20"/>
        <v>-1200</v>
      </c>
      <c r="R47" s="6">
        <f t="shared" si="20"/>
        <v>-733</v>
      </c>
      <c r="S47" s="6">
        <f t="shared" si="20"/>
        <v>-1200</v>
      </c>
      <c r="T47" s="6">
        <f t="shared" si="20"/>
        <v>0</v>
      </c>
      <c r="U47" s="6">
        <f t="shared" si="20"/>
        <v>-923</v>
      </c>
      <c r="V47" s="6">
        <f t="shared" si="20"/>
        <v>-1320</v>
      </c>
      <c r="W47" s="6">
        <f t="shared" si="20"/>
        <v>-433</v>
      </c>
    </row>
    <row r="48" spans="1:23" x14ac:dyDescent="0.25">
      <c r="A48" s="2" t="s">
        <v>99</v>
      </c>
      <c r="B48" s="6"/>
      <c r="C48" s="6">
        <v>750</v>
      </c>
      <c r="D48" s="6">
        <v>116</v>
      </c>
      <c r="E48" s="6">
        <v>1121</v>
      </c>
      <c r="F48" s="6">
        <v>116</v>
      </c>
      <c r="G48" s="6">
        <v>1121</v>
      </c>
      <c r="H48" s="6">
        <v>116</v>
      </c>
      <c r="I48" s="6"/>
      <c r="J48" s="6"/>
      <c r="K48" s="6">
        <v>733</v>
      </c>
      <c r="L48" s="6">
        <v>1000</v>
      </c>
      <c r="M48" s="6">
        <v>1000</v>
      </c>
      <c r="N48" s="6">
        <v>1733</v>
      </c>
      <c r="O48" s="6">
        <v>733</v>
      </c>
      <c r="P48" s="6">
        <v>2000</v>
      </c>
      <c r="Q48" s="6">
        <v>1733</v>
      </c>
      <c r="R48" s="6">
        <v>733</v>
      </c>
      <c r="S48" s="6">
        <v>2000</v>
      </c>
      <c r="T48" s="6">
        <v>0</v>
      </c>
      <c r="U48" s="6">
        <v>923</v>
      </c>
      <c r="V48" s="6">
        <v>1100</v>
      </c>
      <c r="W48" s="6">
        <v>433</v>
      </c>
    </row>
    <row r="49" spans="1:23" x14ac:dyDescent="0.25">
      <c r="A49" s="2" t="s">
        <v>91</v>
      </c>
      <c r="B49" s="6"/>
      <c r="C49" s="6">
        <f>-C12</f>
        <v>-3441</v>
      </c>
      <c r="D49" s="6">
        <f t="shared" ref="D49:W49" si="21">-D12</f>
        <v>-3995</v>
      </c>
      <c r="E49" s="6">
        <f t="shared" si="21"/>
        <v>-5874</v>
      </c>
      <c r="F49" s="6">
        <f t="shared" si="21"/>
        <v>-6010</v>
      </c>
      <c r="G49" s="6">
        <f t="shared" si="21"/>
        <v>-6700</v>
      </c>
      <c r="H49" s="6">
        <f t="shared" si="21"/>
        <v>-6761</v>
      </c>
      <c r="I49" s="6">
        <f t="shared" si="21"/>
        <v>0</v>
      </c>
      <c r="J49" s="6">
        <f t="shared" si="21"/>
        <v>0</v>
      </c>
      <c r="K49" s="6">
        <f t="shared" si="21"/>
        <v>-2892</v>
      </c>
      <c r="L49" s="6">
        <f t="shared" si="21"/>
        <v>-1294</v>
      </c>
      <c r="M49" s="6">
        <f t="shared" si="21"/>
        <v>0</v>
      </c>
      <c r="N49" s="6">
        <f t="shared" si="21"/>
        <v>-3044</v>
      </c>
      <c r="O49" s="6">
        <f t="shared" si="21"/>
        <v>-5150</v>
      </c>
      <c r="P49" s="6">
        <f t="shared" si="21"/>
        <v>-938</v>
      </c>
      <c r="Q49" s="6">
        <f t="shared" si="21"/>
        <v>-3869</v>
      </c>
      <c r="R49" s="6">
        <f t="shared" si="21"/>
        <v>-5975</v>
      </c>
      <c r="S49" s="6">
        <f t="shared" si="21"/>
        <v>-1763</v>
      </c>
      <c r="T49" s="6">
        <f t="shared" si="21"/>
        <v>-6604</v>
      </c>
      <c r="U49" s="6">
        <f t="shared" si="21"/>
        <v>-4821</v>
      </c>
      <c r="V49" s="6">
        <f t="shared" si="21"/>
        <v>-2715</v>
      </c>
      <c r="W49" s="6">
        <f t="shared" si="21"/>
        <v>-3371</v>
      </c>
    </row>
    <row r="50" spans="1:23" x14ac:dyDescent="0.25">
      <c r="A50" s="2" t="s">
        <v>100</v>
      </c>
      <c r="B50" s="6"/>
      <c r="C50" s="6">
        <v>3450</v>
      </c>
      <c r="D50" s="6">
        <v>3450</v>
      </c>
      <c r="E50" s="6">
        <v>5670</v>
      </c>
      <c r="F50" s="6">
        <v>4050</v>
      </c>
      <c r="G50" s="6">
        <v>6300</v>
      </c>
      <c r="H50" s="6">
        <v>4500</v>
      </c>
      <c r="I50" s="6"/>
      <c r="J50" s="6"/>
      <c r="K50" s="6">
        <v>3450</v>
      </c>
      <c r="L50" s="6">
        <v>3450</v>
      </c>
      <c r="M50" s="6">
        <v>2850</v>
      </c>
      <c r="N50" s="6">
        <v>5670</v>
      </c>
      <c r="O50" s="6">
        <v>5670</v>
      </c>
      <c r="P50" s="6">
        <v>4870</v>
      </c>
      <c r="Q50" s="6">
        <v>6300</v>
      </c>
      <c r="R50" s="6">
        <v>6300</v>
      </c>
      <c r="S50" s="6">
        <v>5500</v>
      </c>
      <c r="T50" s="6">
        <v>5400</v>
      </c>
      <c r="U50" s="6">
        <v>5670</v>
      </c>
      <c r="V50" s="6">
        <v>4070</v>
      </c>
      <c r="W50" s="6">
        <v>3450</v>
      </c>
    </row>
    <row r="51" spans="1:23" x14ac:dyDescent="0.25">
      <c r="A51" s="2" t="s">
        <v>92</v>
      </c>
      <c r="B51" s="6"/>
      <c r="C51" s="6">
        <f>-+C18</f>
        <v>-2750.3999999999996</v>
      </c>
      <c r="D51" s="6">
        <f t="shared" ref="D51:W51" si="22">-+D18</f>
        <v>-6129.6</v>
      </c>
      <c r="E51" s="6">
        <f t="shared" si="22"/>
        <v>-5502</v>
      </c>
      <c r="F51" s="6">
        <f t="shared" si="22"/>
        <v>-8913.5999999999985</v>
      </c>
      <c r="G51" s="6">
        <f t="shared" si="22"/>
        <v>-8058</v>
      </c>
      <c r="H51" s="6">
        <f t="shared" si="22"/>
        <v>-11444.400000000001</v>
      </c>
      <c r="I51" s="6">
        <f t="shared" si="22"/>
        <v>0</v>
      </c>
      <c r="J51" s="6">
        <f t="shared" si="22"/>
        <v>0</v>
      </c>
      <c r="K51" s="6">
        <f t="shared" si="22"/>
        <v>0</v>
      </c>
      <c r="L51" s="6">
        <f t="shared" si="22"/>
        <v>0</v>
      </c>
      <c r="M51" s="6">
        <f t="shared" si="22"/>
        <v>0</v>
      </c>
      <c r="N51" s="6">
        <f t="shared" si="22"/>
        <v>0</v>
      </c>
      <c r="O51" s="6">
        <f t="shared" si="22"/>
        <v>-5478.0000000000018</v>
      </c>
      <c r="P51" s="6">
        <f t="shared" si="22"/>
        <v>0</v>
      </c>
      <c r="Q51" s="6">
        <f t="shared" si="22"/>
        <v>-4272.5999999999995</v>
      </c>
      <c r="R51" s="6">
        <f t="shared" si="22"/>
        <v>-7842.6000000000022</v>
      </c>
      <c r="S51" s="6">
        <f t="shared" si="22"/>
        <v>0</v>
      </c>
      <c r="T51" s="6">
        <f t="shared" si="22"/>
        <v>-5476.8000000000011</v>
      </c>
      <c r="U51" s="6">
        <f t="shared" si="22"/>
        <v>0</v>
      </c>
      <c r="V51" s="6">
        <f t="shared" si="22"/>
        <v>0</v>
      </c>
      <c r="W51" s="6">
        <f t="shared" si="22"/>
        <v>-3012.6000000000022</v>
      </c>
    </row>
    <row r="52" spans="1:23" x14ac:dyDescent="0.25">
      <c r="A52" s="2" t="s">
        <v>93</v>
      </c>
      <c r="B52" s="6"/>
      <c r="C52" s="6">
        <f>+C124</f>
        <v>2750.3999999999996</v>
      </c>
      <c r="D52" s="6">
        <f t="shared" ref="D52:V52" si="23">+D124</f>
        <v>6129.6</v>
      </c>
      <c r="E52" s="6">
        <f t="shared" si="23"/>
        <v>5502</v>
      </c>
      <c r="F52" s="6">
        <f t="shared" si="23"/>
        <v>8913.5999999999985</v>
      </c>
      <c r="G52" s="6">
        <f t="shared" si="23"/>
        <v>8058</v>
      </c>
      <c r="H52" s="6">
        <f t="shared" si="23"/>
        <v>11444.400000000001</v>
      </c>
      <c r="I52" s="6">
        <f t="shared" si="23"/>
        <v>0</v>
      </c>
      <c r="J52" s="6">
        <f t="shared" si="23"/>
        <v>0</v>
      </c>
      <c r="K52" s="6">
        <f>+K126</f>
        <v>1302.6000000000008</v>
      </c>
      <c r="L52" s="6">
        <f t="shared" si="23"/>
        <v>0</v>
      </c>
      <c r="M52" s="6">
        <f t="shared" si="23"/>
        <v>0</v>
      </c>
      <c r="N52" s="6">
        <f>+N126</f>
        <v>703.35000000000036</v>
      </c>
      <c r="O52" s="6">
        <f t="shared" si="23"/>
        <v>5478.0000000000018</v>
      </c>
      <c r="P52" s="6">
        <f t="shared" si="23"/>
        <v>0</v>
      </c>
      <c r="Q52" s="6">
        <f t="shared" si="23"/>
        <v>4272.5999999999995</v>
      </c>
      <c r="R52" s="6">
        <f t="shared" si="23"/>
        <v>7842.6000000000022</v>
      </c>
      <c r="S52" s="6">
        <f t="shared" si="23"/>
        <v>0</v>
      </c>
      <c r="T52" s="6">
        <f t="shared" si="23"/>
        <v>5476.8000000000011</v>
      </c>
      <c r="U52" s="6">
        <f>+U126</f>
        <v>703.35000000000036</v>
      </c>
      <c r="V52" s="6">
        <f t="shared" si="23"/>
        <v>0</v>
      </c>
      <c r="W52" s="6">
        <f>+W126</f>
        <v>2937.2850000000021</v>
      </c>
    </row>
    <row r="53" spans="1:23" x14ac:dyDescent="0.25">
      <c r="A53" s="2" t="s">
        <v>94</v>
      </c>
      <c r="B53" s="6"/>
      <c r="C53" s="6">
        <f>SUM(C44:C52)</f>
        <v>-7806.0999999999985</v>
      </c>
      <c r="D53" s="6">
        <f t="shared" ref="D53:W53" si="24">SUM(D44:D52)</f>
        <v>-10916.65</v>
      </c>
      <c r="E53" s="6">
        <f t="shared" si="24"/>
        <v>-10422.5</v>
      </c>
      <c r="F53" s="6">
        <f t="shared" si="24"/>
        <v>-14708.400000000001</v>
      </c>
      <c r="G53" s="6">
        <f t="shared" si="24"/>
        <v>-8203.5</v>
      </c>
      <c r="H53" s="6">
        <f t="shared" si="24"/>
        <v>-12987.599999999999</v>
      </c>
      <c r="I53" s="6">
        <f t="shared" si="24"/>
        <v>-1266</v>
      </c>
      <c r="J53" s="6">
        <f t="shared" si="24"/>
        <v>4853</v>
      </c>
      <c r="K53" s="6">
        <f t="shared" si="24"/>
        <v>-10714.65</v>
      </c>
      <c r="L53" s="6">
        <f t="shared" si="24"/>
        <v>-4876.25</v>
      </c>
      <c r="M53" s="6">
        <f t="shared" si="24"/>
        <v>639.75</v>
      </c>
      <c r="N53" s="6">
        <f t="shared" si="24"/>
        <v>-9585.65</v>
      </c>
      <c r="O53" s="6">
        <f t="shared" si="24"/>
        <v>-13567.999999999998</v>
      </c>
      <c r="P53" s="6">
        <f t="shared" si="24"/>
        <v>-4191</v>
      </c>
      <c r="Q53" s="6">
        <f t="shared" si="24"/>
        <v>-3497.4000000000015</v>
      </c>
      <c r="R53" s="6">
        <f t="shared" si="24"/>
        <v>-9160.3999999999942</v>
      </c>
      <c r="S53" s="6">
        <f t="shared" si="24"/>
        <v>-1660</v>
      </c>
      <c r="T53" s="6">
        <f t="shared" si="24"/>
        <v>-13918.199999999999</v>
      </c>
      <c r="U53" s="6">
        <f t="shared" si="24"/>
        <v>-10268.65</v>
      </c>
      <c r="V53" s="6">
        <f t="shared" si="24"/>
        <v>-6045</v>
      </c>
      <c r="W53" s="6">
        <f t="shared" si="24"/>
        <v>-10794.464999999995</v>
      </c>
    </row>
    <row r="54" spans="1:23" x14ac:dyDescent="0.25">
      <c r="A54" s="2" t="s">
        <v>107</v>
      </c>
      <c r="B54" s="6"/>
      <c r="C54" s="6">
        <f>+C53-C44</f>
        <v>-141</v>
      </c>
      <c r="D54" s="6">
        <f t="shared" ref="D54:W54" si="25">+D53-D44</f>
        <v>-544.99999999999818</v>
      </c>
      <c r="E54" s="6">
        <f t="shared" si="25"/>
        <v>-204</v>
      </c>
      <c r="F54" s="6">
        <f t="shared" si="25"/>
        <v>-1960</v>
      </c>
      <c r="G54" s="6">
        <f t="shared" si="25"/>
        <v>-400</v>
      </c>
      <c r="H54" s="6">
        <f t="shared" si="25"/>
        <v>-2261</v>
      </c>
      <c r="I54" s="6">
        <f t="shared" si="25"/>
        <v>0</v>
      </c>
      <c r="J54" s="6">
        <f t="shared" si="25"/>
        <v>0</v>
      </c>
      <c r="K54" s="6">
        <f t="shared" si="25"/>
        <v>2591.6000000000004</v>
      </c>
      <c r="L54" s="6">
        <f t="shared" si="25"/>
        <v>2556</v>
      </c>
      <c r="M54" s="6">
        <f t="shared" si="25"/>
        <v>3250</v>
      </c>
      <c r="N54" s="6">
        <f t="shared" si="25"/>
        <v>3862.3500000000004</v>
      </c>
      <c r="O54" s="6">
        <f t="shared" si="25"/>
        <v>520.00000000000182</v>
      </c>
      <c r="P54" s="6">
        <f t="shared" si="25"/>
        <v>4732</v>
      </c>
      <c r="Q54" s="6">
        <f t="shared" si="25"/>
        <v>2964</v>
      </c>
      <c r="R54" s="6">
        <f t="shared" si="25"/>
        <v>325</v>
      </c>
      <c r="S54" s="6">
        <f t="shared" si="25"/>
        <v>4537</v>
      </c>
      <c r="T54" s="6">
        <f t="shared" si="25"/>
        <v>-1204.0000000000018</v>
      </c>
      <c r="U54" s="6">
        <f t="shared" si="25"/>
        <v>1552.3500000000004</v>
      </c>
      <c r="V54" s="6">
        <f t="shared" si="25"/>
        <v>1135</v>
      </c>
      <c r="W54" s="6">
        <f t="shared" si="25"/>
        <v>3.6849999999994907</v>
      </c>
    </row>
    <row r="55" spans="1:23" x14ac:dyDescent="0.25">
      <c r="A55" s="2"/>
      <c r="D55" s="3"/>
      <c r="E55" s="3"/>
      <c r="W55" s="4"/>
    </row>
    <row r="56" spans="1:23" x14ac:dyDescent="0.25">
      <c r="A56" s="2" t="s">
        <v>106</v>
      </c>
      <c r="D56" s="3"/>
      <c r="E56" s="3"/>
      <c r="W56" s="4"/>
    </row>
    <row r="57" spans="1:23" x14ac:dyDescent="0.25">
      <c r="A57" s="2" t="s">
        <v>36</v>
      </c>
      <c r="D57" s="3"/>
      <c r="E57" s="3"/>
      <c r="W57" s="4"/>
    </row>
    <row r="58" spans="1:23" x14ac:dyDescent="0.25">
      <c r="A58" s="2" t="s">
        <v>37</v>
      </c>
      <c r="D58" s="3"/>
      <c r="E58" s="3"/>
      <c r="W58" s="4"/>
    </row>
    <row r="59" spans="1:23" x14ac:dyDescent="0.25">
      <c r="A59" s="2" t="s">
        <v>104</v>
      </c>
      <c r="D59" s="3"/>
      <c r="E59" s="3"/>
      <c r="W59" s="4"/>
    </row>
    <row r="60" spans="1:23" x14ac:dyDescent="0.25">
      <c r="A60" s="2" t="s">
        <v>105</v>
      </c>
      <c r="D60" s="3"/>
      <c r="E60" s="3"/>
      <c r="W60" s="4"/>
    </row>
    <row r="61" spans="1:23" x14ac:dyDescent="0.25">
      <c r="A61" s="2" t="s">
        <v>35</v>
      </c>
      <c r="D61" s="3"/>
      <c r="E61" s="3"/>
      <c r="W61" s="4"/>
    </row>
    <row r="62" spans="1:23" x14ac:dyDescent="0.25">
      <c r="A62" s="2" t="s">
        <v>44</v>
      </c>
      <c r="D62" s="3"/>
      <c r="E62" s="3"/>
      <c r="W62" s="4"/>
    </row>
    <row r="63" spans="1:23" x14ac:dyDescent="0.25">
      <c r="A63" s="2" t="s">
        <v>79</v>
      </c>
      <c r="D63" s="3"/>
      <c r="E63" s="3"/>
      <c r="W63" s="4"/>
    </row>
    <row r="64" spans="1:23" x14ac:dyDescent="0.25">
      <c r="A64" s="2" t="s">
        <v>87</v>
      </c>
      <c r="D64" s="3"/>
      <c r="E64" s="3"/>
      <c r="W64" s="4"/>
    </row>
    <row r="65" spans="1:23" x14ac:dyDescent="0.25">
      <c r="A65" s="2" t="s">
        <v>45</v>
      </c>
      <c r="D65" s="3"/>
      <c r="E65" s="3"/>
      <c r="W65" s="4"/>
    </row>
    <row r="66" spans="1:23" x14ac:dyDescent="0.25">
      <c r="A66" s="2" t="s">
        <v>80</v>
      </c>
      <c r="D66" s="3"/>
      <c r="E66" s="3"/>
      <c r="W66" s="4"/>
    </row>
    <row r="67" spans="1:23" x14ac:dyDescent="0.25">
      <c r="A67" s="2" t="s">
        <v>81</v>
      </c>
      <c r="D67" s="3"/>
      <c r="E67" s="3"/>
      <c r="W67" s="4"/>
    </row>
    <row r="68" spans="1:23" x14ac:dyDescent="0.25">
      <c r="A68" s="2" t="s">
        <v>82</v>
      </c>
      <c r="D68" s="3"/>
      <c r="E68" s="3"/>
      <c r="W68" s="4"/>
    </row>
    <row r="69" spans="1:23" x14ac:dyDescent="0.25">
      <c r="A69" s="2" t="s">
        <v>83</v>
      </c>
      <c r="D69" s="3"/>
      <c r="E69" s="3"/>
      <c r="W69" s="4"/>
    </row>
    <row r="70" spans="1:23" x14ac:dyDescent="0.25">
      <c r="A70" s="2" t="s">
        <v>46</v>
      </c>
      <c r="D70" s="3"/>
      <c r="E70" s="3"/>
      <c r="W70" s="4"/>
    </row>
    <row r="71" spans="1:23" x14ac:dyDescent="0.25">
      <c r="A71" s="2" t="s">
        <v>101</v>
      </c>
      <c r="D71" s="3"/>
      <c r="E71" s="3"/>
      <c r="W71" s="4"/>
    </row>
    <row r="72" spans="1:23" x14ac:dyDescent="0.25">
      <c r="A72" s="2"/>
      <c r="D72" s="3"/>
      <c r="E72" s="3"/>
      <c r="W72" s="4"/>
    </row>
    <row r="73" spans="1:23" x14ac:dyDescent="0.25">
      <c r="A73" s="2" t="s">
        <v>47</v>
      </c>
      <c r="D73" s="3"/>
      <c r="E73" s="3"/>
      <c r="U73" s="2"/>
      <c r="W73" s="4"/>
    </row>
    <row r="74" spans="1:23" x14ac:dyDescent="0.25">
      <c r="A74" s="2" t="s">
        <v>76</v>
      </c>
      <c r="B74" s="11">
        <v>1</v>
      </c>
      <c r="C74" s="11">
        <v>2</v>
      </c>
      <c r="D74" s="11">
        <v>3</v>
      </c>
      <c r="E74" s="11">
        <v>4</v>
      </c>
      <c r="F74" s="11">
        <v>5</v>
      </c>
      <c r="G74" s="11">
        <v>6</v>
      </c>
      <c r="H74" s="11">
        <v>7</v>
      </c>
      <c r="I74" s="11">
        <v>8</v>
      </c>
      <c r="J74" s="11">
        <v>9</v>
      </c>
      <c r="K74" s="11">
        <v>10</v>
      </c>
      <c r="L74" s="11">
        <v>11</v>
      </c>
      <c r="M74" s="11">
        <v>12</v>
      </c>
      <c r="N74" s="11">
        <v>13</v>
      </c>
      <c r="O74" s="11">
        <v>14</v>
      </c>
      <c r="P74" s="11">
        <v>15</v>
      </c>
      <c r="Q74" s="11">
        <v>16</v>
      </c>
      <c r="R74" s="11">
        <v>17</v>
      </c>
      <c r="S74" s="11">
        <v>18</v>
      </c>
      <c r="T74" s="11">
        <v>19</v>
      </c>
      <c r="U74" s="11">
        <v>20</v>
      </c>
      <c r="V74" s="11">
        <v>21</v>
      </c>
      <c r="W74" s="1">
        <v>22</v>
      </c>
    </row>
    <row r="75" spans="1:23" x14ac:dyDescent="0.25">
      <c r="A75" s="2" t="s">
        <v>48</v>
      </c>
      <c r="B75" s="3">
        <v>1</v>
      </c>
      <c r="C75" s="3">
        <v>2</v>
      </c>
      <c r="D75" s="3">
        <v>2</v>
      </c>
      <c r="E75" s="3">
        <v>3</v>
      </c>
      <c r="F75" s="3">
        <v>3</v>
      </c>
      <c r="G75" s="3">
        <v>4</v>
      </c>
      <c r="H75" s="3">
        <v>4</v>
      </c>
      <c r="I75" s="3">
        <v>1</v>
      </c>
      <c r="J75" s="3">
        <v>1</v>
      </c>
      <c r="K75" s="3">
        <v>3</v>
      </c>
      <c r="L75" s="3">
        <v>3</v>
      </c>
      <c r="M75" s="3">
        <v>3</v>
      </c>
      <c r="N75" s="3">
        <v>4</v>
      </c>
      <c r="O75" s="3">
        <v>4</v>
      </c>
      <c r="P75" s="3">
        <v>4</v>
      </c>
      <c r="Q75" s="3">
        <v>5</v>
      </c>
      <c r="R75" s="3">
        <v>5</v>
      </c>
      <c r="S75" s="3">
        <v>5</v>
      </c>
      <c r="T75" s="3">
        <v>4</v>
      </c>
      <c r="U75" s="3">
        <v>4</v>
      </c>
      <c r="V75" s="3">
        <v>4</v>
      </c>
      <c r="W75" s="3">
        <v>3</v>
      </c>
    </row>
    <row r="76" spans="1:23" x14ac:dyDescent="0.25">
      <c r="A76" s="2" t="s">
        <v>49</v>
      </c>
      <c r="B76">
        <v>292</v>
      </c>
      <c r="C76">
        <v>536</v>
      </c>
      <c r="D76" s="4">
        <v>536</v>
      </c>
      <c r="E76" s="4">
        <v>768</v>
      </c>
      <c r="F76" s="4">
        <v>768</v>
      </c>
      <c r="G76" s="4">
        <v>975</v>
      </c>
      <c r="H76" s="4">
        <v>975</v>
      </c>
      <c r="I76" s="4">
        <v>292</v>
      </c>
      <c r="J76" s="4">
        <v>292</v>
      </c>
      <c r="K76" s="4">
        <v>768</v>
      </c>
      <c r="L76" s="4">
        <v>768</v>
      </c>
      <c r="M76" s="4">
        <v>768</v>
      </c>
      <c r="N76" s="4">
        <v>975</v>
      </c>
      <c r="O76" s="4">
        <v>975</v>
      </c>
      <c r="P76" s="4">
        <v>975</v>
      </c>
      <c r="Q76" s="4">
        <v>1158</v>
      </c>
      <c r="R76" s="4">
        <v>1158</v>
      </c>
      <c r="S76" s="4">
        <v>1158</v>
      </c>
      <c r="T76" s="4">
        <v>975</v>
      </c>
      <c r="U76" s="4">
        <v>975</v>
      </c>
      <c r="V76" s="4">
        <v>975</v>
      </c>
      <c r="W76" s="4">
        <v>768</v>
      </c>
    </row>
    <row r="77" spans="1:23" x14ac:dyDescent="0.25">
      <c r="A77" s="2" t="s">
        <v>50</v>
      </c>
      <c r="B77" s="6">
        <f t="shared" ref="B77:W77" si="26">+B6/12</f>
        <v>2083.3333333333335</v>
      </c>
      <c r="C77" s="6">
        <f t="shared" si="26"/>
        <v>2083.3333333333335</v>
      </c>
      <c r="D77" s="6">
        <f t="shared" si="26"/>
        <v>1250</v>
      </c>
      <c r="E77" s="6">
        <f t="shared" si="26"/>
        <v>2083.3333333333335</v>
      </c>
      <c r="F77" s="6">
        <f t="shared" si="26"/>
        <v>1250</v>
      </c>
      <c r="G77" s="6">
        <f t="shared" si="26"/>
        <v>2083.3333333333335</v>
      </c>
      <c r="H77" s="6">
        <f t="shared" si="26"/>
        <v>1250</v>
      </c>
      <c r="I77" s="6">
        <f t="shared" si="26"/>
        <v>2500</v>
      </c>
      <c r="J77" s="6">
        <f t="shared" si="26"/>
        <v>3333.3333333333335</v>
      </c>
      <c r="K77" s="6">
        <f t="shared" si="26"/>
        <v>2916.6666666666665</v>
      </c>
      <c r="L77" s="6">
        <f t="shared" si="26"/>
        <v>3750</v>
      </c>
      <c r="M77" s="6">
        <f t="shared" si="26"/>
        <v>4583.333333333333</v>
      </c>
      <c r="N77" s="6">
        <f t="shared" si="26"/>
        <v>3750</v>
      </c>
      <c r="O77" s="6">
        <f t="shared" si="26"/>
        <v>2916.6666666666665</v>
      </c>
      <c r="P77" s="6">
        <f t="shared" si="26"/>
        <v>4583.333333333333</v>
      </c>
      <c r="Q77" s="6">
        <f t="shared" si="26"/>
        <v>3750</v>
      </c>
      <c r="R77" s="6">
        <f t="shared" si="26"/>
        <v>2916.6666666666665</v>
      </c>
      <c r="S77" s="6">
        <f t="shared" si="26"/>
        <v>4583.333333333333</v>
      </c>
      <c r="T77" s="6">
        <f t="shared" si="26"/>
        <v>2916.6666666666665</v>
      </c>
      <c r="U77" s="6">
        <f t="shared" si="26"/>
        <v>3750</v>
      </c>
      <c r="V77" s="6">
        <f t="shared" si="26"/>
        <v>4583.333333333333</v>
      </c>
      <c r="W77" s="6">
        <f t="shared" si="26"/>
        <v>2666.6666666666665</v>
      </c>
    </row>
    <row r="78" spans="1:23" x14ac:dyDescent="0.25">
      <c r="A78" s="2" t="s">
        <v>64</v>
      </c>
      <c r="B78" s="6">
        <v>1632</v>
      </c>
      <c r="C78" s="6">
        <v>2215</v>
      </c>
      <c r="D78" s="6">
        <v>2215</v>
      </c>
      <c r="E78" s="6">
        <v>2798</v>
      </c>
      <c r="F78" s="6">
        <v>2798</v>
      </c>
      <c r="G78" s="6">
        <v>3380</v>
      </c>
      <c r="H78" s="6">
        <v>3380</v>
      </c>
      <c r="I78" s="6">
        <v>1632</v>
      </c>
      <c r="J78" s="6">
        <v>1632</v>
      </c>
      <c r="K78" s="6">
        <v>2798</v>
      </c>
      <c r="L78" s="6">
        <v>2798</v>
      </c>
      <c r="M78" s="6">
        <v>2798</v>
      </c>
      <c r="N78" s="6">
        <v>3389</v>
      </c>
      <c r="O78" s="6">
        <v>3380</v>
      </c>
      <c r="P78" s="6">
        <v>3380</v>
      </c>
      <c r="Q78" s="6">
        <v>3963</v>
      </c>
      <c r="R78" s="6">
        <v>3963</v>
      </c>
      <c r="S78" s="6">
        <v>3963</v>
      </c>
      <c r="T78" s="6">
        <v>3380</v>
      </c>
      <c r="U78" s="6">
        <v>3380</v>
      </c>
      <c r="V78" s="6">
        <v>3380</v>
      </c>
      <c r="W78" s="6">
        <v>2798</v>
      </c>
    </row>
    <row r="79" spans="1:23" x14ac:dyDescent="0.25">
      <c r="A79" s="2" t="s">
        <v>58</v>
      </c>
      <c r="B79" s="14" t="s">
        <v>61</v>
      </c>
      <c r="C79" s="14" t="s">
        <v>62</v>
      </c>
      <c r="D79" s="14" t="s">
        <v>62</v>
      </c>
      <c r="E79" s="14" t="s">
        <v>62</v>
      </c>
      <c r="F79" s="14" t="s">
        <v>62</v>
      </c>
      <c r="G79" s="14" t="s">
        <v>62</v>
      </c>
      <c r="H79" s="14" t="s">
        <v>62</v>
      </c>
      <c r="I79" s="14" t="s">
        <v>61</v>
      </c>
      <c r="J79" s="14" t="s">
        <v>61</v>
      </c>
      <c r="K79" s="14" t="s">
        <v>61</v>
      </c>
      <c r="L79" s="14" t="s">
        <v>61</v>
      </c>
      <c r="M79" s="14" t="s">
        <v>61</v>
      </c>
      <c r="N79" s="14" t="s">
        <v>61</v>
      </c>
      <c r="O79" s="14" t="s">
        <v>63</v>
      </c>
      <c r="P79" s="14" t="s">
        <v>61</v>
      </c>
      <c r="Q79" s="14" t="s">
        <v>63</v>
      </c>
      <c r="R79" s="14" t="s">
        <v>63</v>
      </c>
      <c r="S79" s="14" t="s">
        <v>61</v>
      </c>
      <c r="T79" s="14" t="s">
        <v>63</v>
      </c>
      <c r="U79" s="14" t="s">
        <v>61</v>
      </c>
      <c r="V79" s="14" t="s">
        <v>61</v>
      </c>
      <c r="W79" s="3" t="s">
        <v>63</v>
      </c>
    </row>
    <row r="80" spans="1:23" x14ac:dyDescent="0.25">
      <c r="A80" s="2" t="s">
        <v>51</v>
      </c>
      <c r="C80">
        <v>204</v>
      </c>
      <c r="D80" s="4">
        <v>204</v>
      </c>
      <c r="E80" s="4">
        <v>204</v>
      </c>
      <c r="F80">
        <v>204</v>
      </c>
      <c r="G80">
        <v>217</v>
      </c>
      <c r="H80">
        <v>217</v>
      </c>
      <c r="O80">
        <v>217</v>
      </c>
      <c r="Q80">
        <v>254</v>
      </c>
      <c r="R80">
        <v>254</v>
      </c>
      <c r="T80">
        <v>217</v>
      </c>
      <c r="W80" s="4">
        <v>204</v>
      </c>
    </row>
    <row r="81" spans="1:23" x14ac:dyDescent="0.25">
      <c r="A81" s="2" t="s">
        <v>52</v>
      </c>
      <c r="B81" s="6"/>
      <c r="C81" s="6">
        <f t="shared" ref="C81:T81" si="27">+C77*0.2</f>
        <v>416.66666666666674</v>
      </c>
      <c r="D81" s="6">
        <f t="shared" si="27"/>
        <v>250</v>
      </c>
      <c r="E81" s="6">
        <f t="shared" si="27"/>
        <v>416.66666666666674</v>
      </c>
      <c r="F81" s="6">
        <f t="shared" si="27"/>
        <v>250</v>
      </c>
      <c r="G81" s="6">
        <f t="shared" si="27"/>
        <v>416.66666666666674</v>
      </c>
      <c r="H81" s="6">
        <f t="shared" si="27"/>
        <v>250</v>
      </c>
      <c r="I81" s="6"/>
      <c r="J81" s="6"/>
      <c r="K81" s="6"/>
      <c r="L81" s="6"/>
      <c r="M81" s="6"/>
      <c r="N81" s="6"/>
      <c r="O81" s="6">
        <f t="shared" si="27"/>
        <v>583.33333333333337</v>
      </c>
      <c r="P81" s="6"/>
      <c r="Q81" s="6">
        <f t="shared" si="27"/>
        <v>750</v>
      </c>
      <c r="R81" s="6">
        <f t="shared" si="27"/>
        <v>583.33333333333337</v>
      </c>
      <c r="S81" s="6"/>
      <c r="T81" s="6">
        <f t="shared" si="27"/>
        <v>583.33333333333337</v>
      </c>
      <c r="U81" s="6"/>
      <c r="W81" s="6">
        <f t="shared" ref="W81" si="28">+W77*0.2</f>
        <v>533.33333333333337</v>
      </c>
    </row>
    <row r="82" spans="1:23" x14ac:dyDescent="0.25">
      <c r="A82" s="2" t="s">
        <v>70</v>
      </c>
      <c r="B82" s="6"/>
      <c r="C82" s="6">
        <f>+C77-C80-C81</f>
        <v>1462.6666666666667</v>
      </c>
      <c r="D82" s="6">
        <f t="shared" ref="D82:H82" si="29">+D77-D80-D81</f>
        <v>796</v>
      </c>
      <c r="E82" s="6">
        <f t="shared" si="29"/>
        <v>1462.6666666666667</v>
      </c>
      <c r="F82" s="6">
        <f t="shared" si="29"/>
        <v>796</v>
      </c>
      <c r="G82" s="6">
        <f t="shared" si="29"/>
        <v>1449.6666666666667</v>
      </c>
      <c r="H82" s="6">
        <f t="shared" si="29"/>
        <v>783</v>
      </c>
      <c r="I82" s="6"/>
      <c r="J82" s="6"/>
      <c r="K82" s="6"/>
      <c r="L82" s="6"/>
      <c r="M82" s="6"/>
      <c r="N82" s="6"/>
      <c r="O82" s="6">
        <f>+O77-O80-O81</f>
        <v>2116.333333333333</v>
      </c>
      <c r="P82" s="6"/>
      <c r="Q82" s="6">
        <f t="shared" ref="Q82:R82" si="30">+Q77-Q80-Q81</f>
        <v>2746</v>
      </c>
      <c r="R82" s="6">
        <f t="shared" si="30"/>
        <v>2079.333333333333</v>
      </c>
      <c r="S82" s="6"/>
      <c r="T82" s="6">
        <f>+T77-T80-T81</f>
        <v>2116.333333333333</v>
      </c>
      <c r="U82" s="6"/>
      <c r="W82" s="6">
        <f>+W77-W80-W81</f>
        <v>1929.333333333333</v>
      </c>
    </row>
    <row r="83" spans="1:23" x14ac:dyDescent="0.25">
      <c r="A83" s="2" t="s">
        <v>53</v>
      </c>
      <c r="C83">
        <f>+C102</f>
        <v>440</v>
      </c>
      <c r="D83">
        <f t="shared" ref="D83:H83" si="31">+D102</f>
        <v>712</v>
      </c>
      <c r="E83">
        <f t="shared" si="31"/>
        <v>431</v>
      </c>
      <c r="F83">
        <f t="shared" si="31"/>
        <v>712</v>
      </c>
      <c r="G83">
        <f t="shared" si="31"/>
        <v>438</v>
      </c>
      <c r="H83">
        <f t="shared" si="31"/>
        <v>712</v>
      </c>
      <c r="O83">
        <f>+O102</f>
        <v>388</v>
      </c>
      <c r="Q83" s="6">
        <f t="shared" ref="Q83:R83" si="32">+Q102</f>
        <v>72.833333333333258</v>
      </c>
      <c r="R83" s="6">
        <f t="shared" si="32"/>
        <v>397.83333333333348</v>
      </c>
      <c r="T83" s="6">
        <f t="shared" ref="T83" si="33">+T102</f>
        <v>387.66666666666674</v>
      </c>
      <c r="W83" s="6">
        <f t="shared" ref="W83" si="34">+W102</f>
        <v>206.16666666666674</v>
      </c>
    </row>
    <row r="84" spans="1:23" x14ac:dyDescent="0.25">
      <c r="A84" s="2" t="s">
        <v>54</v>
      </c>
      <c r="C84" s="6">
        <f>+C82-C83</f>
        <v>1022.6666666666667</v>
      </c>
      <c r="D84" s="6">
        <f t="shared" ref="D84:H84" si="35">+D82-D83</f>
        <v>84</v>
      </c>
      <c r="E84" s="6">
        <f t="shared" si="35"/>
        <v>1031.6666666666667</v>
      </c>
      <c r="F84" s="6">
        <f t="shared" si="35"/>
        <v>84</v>
      </c>
      <c r="G84" s="6">
        <f t="shared" si="35"/>
        <v>1011.6666666666667</v>
      </c>
      <c r="H84" s="6">
        <f t="shared" si="35"/>
        <v>71</v>
      </c>
      <c r="O84" s="6">
        <f>+O82-O83</f>
        <v>1728.333333333333</v>
      </c>
      <c r="Q84" s="6">
        <f t="shared" ref="Q84:T84" si="36">+Q82-Q83</f>
        <v>2673.166666666667</v>
      </c>
      <c r="R84" s="6">
        <f t="shared" si="36"/>
        <v>1681.4999999999995</v>
      </c>
      <c r="T84" s="6">
        <f t="shared" si="36"/>
        <v>1728.6666666666663</v>
      </c>
      <c r="W84" s="6">
        <f t="shared" ref="W84" si="37">+W82-W83</f>
        <v>1723.1666666666663</v>
      </c>
    </row>
    <row r="85" spans="1:23" x14ac:dyDescent="0.25">
      <c r="A85" s="2" t="s">
        <v>59</v>
      </c>
      <c r="C85" s="3" t="s">
        <v>62</v>
      </c>
      <c r="D85" s="3" t="s">
        <v>62</v>
      </c>
      <c r="E85" s="3" t="s">
        <v>62</v>
      </c>
      <c r="F85" s="3" t="s">
        <v>62</v>
      </c>
      <c r="G85" s="3" t="s">
        <v>62</v>
      </c>
      <c r="H85" s="3" t="s">
        <v>62</v>
      </c>
      <c r="I85" s="3"/>
      <c r="J85" s="3"/>
      <c r="K85" s="3"/>
      <c r="L85" s="3"/>
      <c r="M85" s="3"/>
      <c r="N85" s="3"/>
      <c r="O85" s="3" t="s">
        <v>63</v>
      </c>
      <c r="Q85" s="3" t="s">
        <v>63</v>
      </c>
      <c r="R85" s="3" t="s">
        <v>63</v>
      </c>
      <c r="T85" s="3" t="s">
        <v>63</v>
      </c>
      <c r="W85" s="3" t="s">
        <v>63</v>
      </c>
    </row>
    <row r="86" spans="1:23" x14ac:dyDescent="0.25">
      <c r="A86" s="2" t="s">
        <v>60</v>
      </c>
      <c r="C86" s="6">
        <f>+C84*0.3</f>
        <v>306.8</v>
      </c>
      <c r="D86" s="6">
        <f t="shared" ref="D86:H86" si="38">+D84*0.3</f>
        <v>25.2</v>
      </c>
      <c r="E86" s="6">
        <f t="shared" si="38"/>
        <v>309.5</v>
      </c>
      <c r="F86" s="6">
        <f t="shared" si="38"/>
        <v>25.2</v>
      </c>
      <c r="G86" s="6">
        <f t="shared" si="38"/>
        <v>303.5</v>
      </c>
      <c r="H86" s="6">
        <f t="shared" si="38"/>
        <v>21.3</v>
      </c>
      <c r="O86" s="6">
        <f>+O84*0.3</f>
        <v>518.49999999999989</v>
      </c>
      <c r="Q86" s="6">
        <f t="shared" ref="Q86:R86" si="39">+Q84*0.3</f>
        <v>801.95</v>
      </c>
      <c r="R86" s="6">
        <f t="shared" si="39"/>
        <v>504.44999999999982</v>
      </c>
      <c r="T86" s="6">
        <f t="shared" ref="T86" si="40">+T84*0.3</f>
        <v>518.59999999999991</v>
      </c>
      <c r="W86" s="6">
        <f t="shared" ref="W86" si="41">+W84*0.3</f>
        <v>516.94999999999982</v>
      </c>
    </row>
    <row r="87" spans="1:23" x14ac:dyDescent="0.25">
      <c r="A87" s="2" t="s">
        <v>56</v>
      </c>
      <c r="C87" s="6">
        <f>+C76-C86</f>
        <v>229.2</v>
      </c>
      <c r="D87" s="6">
        <f t="shared" ref="D87:H87" si="42">+D76-D86</f>
        <v>510.8</v>
      </c>
      <c r="E87" s="6">
        <f t="shared" si="42"/>
        <v>458.5</v>
      </c>
      <c r="F87" s="6">
        <f t="shared" si="42"/>
        <v>742.8</v>
      </c>
      <c r="G87" s="6">
        <f t="shared" si="42"/>
        <v>671.5</v>
      </c>
      <c r="H87" s="6">
        <f t="shared" si="42"/>
        <v>953.7</v>
      </c>
      <c r="O87" s="6">
        <f>+O76-O86</f>
        <v>456.50000000000011</v>
      </c>
      <c r="Q87" s="6">
        <f t="shared" ref="Q87:T87" si="43">+Q76-Q86</f>
        <v>356.04999999999995</v>
      </c>
      <c r="R87" s="6">
        <f t="shared" si="43"/>
        <v>653.55000000000018</v>
      </c>
      <c r="T87" s="6">
        <f t="shared" si="43"/>
        <v>456.40000000000009</v>
      </c>
      <c r="W87" s="6">
        <f t="shared" ref="W87" si="44">+W76-W86</f>
        <v>251.05000000000018</v>
      </c>
    </row>
    <row r="88" spans="1:23" x14ac:dyDescent="0.25">
      <c r="A88" s="2" t="s">
        <v>57</v>
      </c>
      <c r="C88" s="6">
        <f>+C87*12</f>
        <v>2750.3999999999996</v>
      </c>
      <c r="D88" s="6">
        <f t="shared" ref="D88:H88" si="45">+D87*12</f>
        <v>6129.6</v>
      </c>
      <c r="E88" s="6">
        <f t="shared" si="45"/>
        <v>5502</v>
      </c>
      <c r="F88" s="6">
        <f t="shared" si="45"/>
        <v>8913.5999999999985</v>
      </c>
      <c r="G88" s="6">
        <f t="shared" si="45"/>
        <v>8058</v>
      </c>
      <c r="H88">
        <f t="shared" si="45"/>
        <v>11444.400000000001</v>
      </c>
      <c r="O88" s="6">
        <f>+O87*12</f>
        <v>5478.0000000000018</v>
      </c>
      <c r="Q88" s="6">
        <f t="shared" ref="Q88:T88" si="46">+Q87*12</f>
        <v>4272.5999999999995</v>
      </c>
      <c r="R88" s="6">
        <f t="shared" si="46"/>
        <v>7842.6000000000022</v>
      </c>
      <c r="T88" s="6">
        <f t="shared" si="46"/>
        <v>5476.8000000000011</v>
      </c>
      <c r="W88" s="6">
        <f t="shared" ref="W88" si="47">+W87*12</f>
        <v>3012.6000000000022</v>
      </c>
    </row>
    <row r="89" spans="1:23" x14ac:dyDescent="0.25">
      <c r="A89" s="2"/>
      <c r="D89" s="3"/>
      <c r="E89" s="3"/>
      <c r="W89" s="4"/>
    </row>
    <row r="90" spans="1:23" x14ac:dyDescent="0.25">
      <c r="A90" s="2"/>
      <c r="D90" s="3"/>
      <c r="E90" s="3"/>
      <c r="W90" s="4"/>
    </row>
    <row r="91" spans="1:23" x14ac:dyDescent="0.25">
      <c r="A91" s="2" t="s">
        <v>55</v>
      </c>
      <c r="D91" s="3"/>
      <c r="E91" s="3"/>
      <c r="W91" s="4"/>
    </row>
    <row r="92" spans="1:23" x14ac:dyDescent="0.25">
      <c r="A92" s="2" t="s">
        <v>65</v>
      </c>
      <c r="D92" s="3"/>
      <c r="E92" s="3"/>
      <c r="W92" s="4"/>
    </row>
    <row r="93" spans="1:23" x14ac:dyDescent="0.25">
      <c r="A93" s="2" t="s">
        <v>66</v>
      </c>
      <c r="C93">
        <f t="shared" ref="C93:H93" si="48">-C28/12</f>
        <v>1000</v>
      </c>
      <c r="D93">
        <f t="shared" si="48"/>
        <v>1000</v>
      </c>
      <c r="E93">
        <f t="shared" si="48"/>
        <v>1000</v>
      </c>
      <c r="F93">
        <f t="shared" si="48"/>
        <v>1000</v>
      </c>
      <c r="G93">
        <f t="shared" si="48"/>
        <v>1000</v>
      </c>
      <c r="H93">
        <f t="shared" si="48"/>
        <v>1000</v>
      </c>
      <c r="O93">
        <f>-O28/12</f>
        <v>1250</v>
      </c>
      <c r="Q93">
        <f>-Q28/12</f>
        <v>1250</v>
      </c>
      <c r="R93">
        <v>1250</v>
      </c>
      <c r="T93">
        <f>-T28/12</f>
        <v>1250</v>
      </c>
      <c r="W93">
        <f>-W28/12</f>
        <v>1000</v>
      </c>
    </row>
    <row r="94" spans="1:23" x14ac:dyDescent="0.25">
      <c r="A94" s="2" t="s">
        <v>67</v>
      </c>
      <c r="C94">
        <f t="shared" ref="C94:H94" si="49">-C30/12</f>
        <v>200</v>
      </c>
      <c r="D94">
        <f t="shared" si="49"/>
        <v>200</v>
      </c>
      <c r="E94">
        <f t="shared" si="49"/>
        <v>200</v>
      </c>
      <c r="F94">
        <f t="shared" si="49"/>
        <v>200</v>
      </c>
      <c r="G94">
        <f t="shared" si="49"/>
        <v>200</v>
      </c>
      <c r="H94">
        <f t="shared" si="49"/>
        <v>200</v>
      </c>
      <c r="O94">
        <f>-O30/12</f>
        <v>225</v>
      </c>
      <c r="Q94">
        <f>-Q30/12</f>
        <v>225</v>
      </c>
      <c r="R94">
        <v>225</v>
      </c>
      <c r="T94">
        <f>-T30/12</f>
        <v>225</v>
      </c>
      <c r="W94">
        <f>-W30/12</f>
        <v>200</v>
      </c>
    </row>
    <row r="95" spans="1:23" x14ac:dyDescent="0.25">
      <c r="A95" s="2" t="s">
        <v>68</v>
      </c>
      <c r="C95" s="6">
        <f t="shared" ref="C95:H95" si="50">-C22/12</f>
        <v>-29.166666666666668</v>
      </c>
      <c r="D95" s="6">
        <f t="shared" si="50"/>
        <v>-37.5</v>
      </c>
      <c r="E95" s="6">
        <f t="shared" si="50"/>
        <v>-37.5</v>
      </c>
      <c r="F95" s="6">
        <f t="shared" si="50"/>
        <v>-37.5</v>
      </c>
      <c r="G95" s="6">
        <f t="shared" si="50"/>
        <v>-37.5</v>
      </c>
      <c r="H95" s="6">
        <f t="shared" si="50"/>
        <v>-37.5</v>
      </c>
      <c r="O95" s="6">
        <f>-O22/12</f>
        <v>-29.166666666666668</v>
      </c>
      <c r="Q95" s="6">
        <f>-Q22/12</f>
        <v>-29.166666666666668</v>
      </c>
      <c r="R95" s="6">
        <f>-R22/12</f>
        <v>-37.5</v>
      </c>
      <c r="S95" s="6"/>
      <c r="T95" s="6">
        <f>-T22/12</f>
        <v>-29.166666666666668</v>
      </c>
      <c r="W95" s="6">
        <f>-W22/12</f>
        <v>-29.166666666666668</v>
      </c>
    </row>
    <row r="96" spans="1:23" x14ac:dyDescent="0.25">
      <c r="A96" s="2" t="s">
        <v>69</v>
      </c>
      <c r="C96" s="6">
        <f>+SUM(C93:C95)</f>
        <v>1170.8333333333333</v>
      </c>
      <c r="D96" s="6">
        <f t="shared" ref="D96:H96" si="51">+SUM(D93:D95)</f>
        <v>1162.5</v>
      </c>
      <c r="E96" s="6">
        <f t="shared" si="51"/>
        <v>1162.5</v>
      </c>
      <c r="F96" s="6">
        <f t="shared" si="51"/>
        <v>1162.5</v>
      </c>
      <c r="G96" s="6">
        <f t="shared" si="51"/>
        <v>1162.5</v>
      </c>
      <c r="H96" s="6">
        <f t="shared" si="51"/>
        <v>1162.5</v>
      </c>
      <c r="O96" s="6">
        <f>+SUM(O93:O95)</f>
        <v>1445.8333333333333</v>
      </c>
      <c r="Q96" s="6">
        <f t="shared" ref="Q96" si="52">+SUM(Q93:Q95)</f>
        <v>1445.8333333333333</v>
      </c>
      <c r="R96" s="6">
        <f>+SUM(R93:R95)</f>
        <v>1437.5</v>
      </c>
      <c r="T96" s="6">
        <f>+SUM(T93:T95)</f>
        <v>1445.8333333333333</v>
      </c>
      <c r="W96" s="6">
        <f>+SUM(W93:W95)</f>
        <v>1170.8333333333333</v>
      </c>
    </row>
    <row r="97" spans="1:23" x14ac:dyDescent="0.25">
      <c r="A97" s="2"/>
      <c r="B97" s="2"/>
      <c r="C97" s="2"/>
      <c r="D97" s="3"/>
      <c r="E97" s="3"/>
      <c r="F97" s="3"/>
      <c r="W97" s="4"/>
    </row>
    <row r="98" spans="1:23" x14ac:dyDescent="0.25">
      <c r="A98" s="2" t="s">
        <v>71</v>
      </c>
      <c r="C98" s="6">
        <f t="shared" ref="C98:H98" si="53">+C82</f>
        <v>1462.6666666666667</v>
      </c>
      <c r="D98" s="6">
        <f t="shared" si="53"/>
        <v>796</v>
      </c>
      <c r="E98" s="6">
        <f t="shared" si="53"/>
        <v>1462.6666666666667</v>
      </c>
      <c r="F98" s="6">
        <f t="shared" si="53"/>
        <v>796</v>
      </c>
      <c r="G98" s="6">
        <f t="shared" si="53"/>
        <v>1449.6666666666667</v>
      </c>
      <c r="H98" s="6">
        <f t="shared" si="53"/>
        <v>783</v>
      </c>
      <c r="O98" s="6">
        <f>+O82</f>
        <v>2116.333333333333</v>
      </c>
      <c r="Q98" s="6">
        <f>+Q82</f>
        <v>2746</v>
      </c>
      <c r="R98" s="6">
        <f>+R82</f>
        <v>2079.333333333333</v>
      </c>
      <c r="S98" s="6"/>
      <c r="T98" s="6">
        <f>+T82</f>
        <v>2116.333333333333</v>
      </c>
      <c r="W98" s="6">
        <f>+W82</f>
        <v>1929.333333333333</v>
      </c>
    </row>
    <row r="99" spans="1:23" x14ac:dyDescent="0.25">
      <c r="A99" s="2" t="s">
        <v>72</v>
      </c>
      <c r="C99" s="6">
        <f>+C98/2</f>
        <v>731.33333333333337</v>
      </c>
      <c r="D99" s="6">
        <f t="shared" ref="D99:H99" si="54">+D98/2</f>
        <v>398</v>
      </c>
      <c r="E99" s="6">
        <f t="shared" si="54"/>
        <v>731.33333333333337</v>
      </c>
      <c r="F99" s="6">
        <f t="shared" si="54"/>
        <v>398</v>
      </c>
      <c r="G99" s="6">
        <f t="shared" si="54"/>
        <v>724.83333333333337</v>
      </c>
      <c r="H99" s="6">
        <f t="shared" si="54"/>
        <v>391.5</v>
      </c>
      <c r="O99" s="6">
        <f>+O98/2</f>
        <v>1058.1666666666665</v>
      </c>
      <c r="Q99" s="6">
        <f t="shared" ref="Q99:T99" si="55">+Q98/2</f>
        <v>1373</v>
      </c>
      <c r="R99" s="6">
        <f>+R98/2</f>
        <v>1039.6666666666665</v>
      </c>
      <c r="S99" s="6"/>
      <c r="T99" s="6">
        <f t="shared" si="55"/>
        <v>1058.1666666666665</v>
      </c>
      <c r="W99" s="6">
        <f t="shared" ref="W99" si="56">+W98/2</f>
        <v>964.66666666666652</v>
      </c>
    </row>
    <row r="100" spans="1:23" x14ac:dyDescent="0.25">
      <c r="A100" s="2" t="s">
        <v>73</v>
      </c>
      <c r="C100" s="6">
        <f>+C96-C99</f>
        <v>439.49999999999989</v>
      </c>
      <c r="D100" s="6">
        <f t="shared" ref="D100:H100" si="57">+D96-D99</f>
        <v>764.5</v>
      </c>
      <c r="E100" s="6">
        <f t="shared" si="57"/>
        <v>431.16666666666663</v>
      </c>
      <c r="F100" s="6">
        <f t="shared" si="57"/>
        <v>764.5</v>
      </c>
      <c r="G100" s="6">
        <f t="shared" si="57"/>
        <v>437.66666666666663</v>
      </c>
      <c r="H100" s="6">
        <f t="shared" si="57"/>
        <v>771</v>
      </c>
      <c r="O100" s="6">
        <f>+O96-O99</f>
        <v>387.66666666666674</v>
      </c>
      <c r="Q100" s="6">
        <f t="shared" ref="Q100:T100" si="58">+Q96-Q99</f>
        <v>72.833333333333258</v>
      </c>
      <c r="R100" s="6">
        <f t="shared" ref="R100" si="59">+R96-R99</f>
        <v>397.83333333333348</v>
      </c>
      <c r="S100" s="6"/>
      <c r="T100" s="6">
        <f t="shared" si="58"/>
        <v>387.66666666666674</v>
      </c>
      <c r="W100" s="6">
        <f t="shared" ref="W100" si="60">+W96-W99</f>
        <v>206.16666666666674</v>
      </c>
    </row>
    <row r="101" spans="1:23" x14ac:dyDescent="0.25">
      <c r="A101" s="2" t="s">
        <v>74</v>
      </c>
      <c r="C101">
        <v>712</v>
      </c>
      <c r="D101">
        <v>712</v>
      </c>
      <c r="E101">
        <v>712</v>
      </c>
      <c r="F101">
        <v>712</v>
      </c>
      <c r="G101">
        <v>712</v>
      </c>
      <c r="H101">
        <v>712</v>
      </c>
      <c r="O101">
        <v>712</v>
      </c>
      <c r="Q101">
        <v>712</v>
      </c>
      <c r="R101">
        <v>712</v>
      </c>
      <c r="T101">
        <v>712</v>
      </c>
      <c r="W101">
        <v>712</v>
      </c>
    </row>
    <row r="102" spans="1:23" x14ac:dyDescent="0.25">
      <c r="A102" s="2" t="s">
        <v>75</v>
      </c>
      <c r="C102">
        <v>440</v>
      </c>
      <c r="D102">
        <v>712</v>
      </c>
      <c r="E102" s="4">
        <v>431</v>
      </c>
      <c r="F102">
        <v>712</v>
      </c>
      <c r="G102" s="4">
        <v>438</v>
      </c>
      <c r="H102">
        <v>712</v>
      </c>
      <c r="O102">
        <v>388</v>
      </c>
      <c r="Q102" s="6">
        <f>+Q100</f>
        <v>72.833333333333258</v>
      </c>
      <c r="R102" s="6">
        <f>+R100</f>
        <v>397.83333333333348</v>
      </c>
      <c r="T102" s="6">
        <f>+T100</f>
        <v>387.66666666666674</v>
      </c>
      <c r="W102" s="6">
        <f>+W100</f>
        <v>206.16666666666674</v>
      </c>
    </row>
    <row r="103" spans="1:23" x14ac:dyDescent="0.25">
      <c r="A103" s="2"/>
      <c r="D103" s="3"/>
      <c r="E103" s="3"/>
      <c r="R103" s="6"/>
      <c r="W103" s="4"/>
    </row>
    <row r="104" spans="1:23" x14ac:dyDescent="0.25">
      <c r="A104" s="2" t="s">
        <v>110</v>
      </c>
      <c r="B104" s="2"/>
      <c r="C104" s="2"/>
      <c r="D104" s="3"/>
      <c r="E104" s="3"/>
      <c r="R104" s="6"/>
      <c r="W104" s="4"/>
    </row>
    <row r="105" spans="1:23" x14ac:dyDescent="0.25">
      <c r="A105" s="2"/>
      <c r="D105" s="3"/>
      <c r="E105" s="3"/>
      <c r="W105" s="4"/>
    </row>
    <row r="106" spans="1:23" x14ac:dyDescent="0.25">
      <c r="A106" s="2" t="s">
        <v>76</v>
      </c>
      <c r="B106" s="11">
        <v>1</v>
      </c>
      <c r="C106" s="11">
        <v>2</v>
      </c>
      <c r="D106" s="11">
        <v>3</v>
      </c>
      <c r="E106" s="11">
        <v>4</v>
      </c>
      <c r="F106" s="11">
        <v>5</v>
      </c>
      <c r="G106" s="11">
        <v>6</v>
      </c>
      <c r="H106" s="11">
        <v>7</v>
      </c>
      <c r="I106" s="11">
        <v>8</v>
      </c>
      <c r="J106" s="11">
        <v>9</v>
      </c>
      <c r="K106" s="11">
        <v>10</v>
      </c>
      <c r="L106" s="11">
        <v>11</v>
      </c>
      <c r="M106" s="11">
        <v>12</v>
      </c>
      <c r="N106" s="11">
        <v>13</v>
      </c>
      <c r="O106" s="11">
        <v>14</v>
      </c>
      <c r="P106" s="11">
        <v>15</v>
      </c>
      <c r="Q106" s="11">
        <v>16</v>
      </c>
      <c r="R106" s="11">
        <v>17</v>
      </c>
      <c r="S106" s="11">
        <v>18</v>
      </c>
      <c r="T106" s="11">
        <v>19</v>
      </c>
      <c r="U106" s="11">
        <v>20</v>
      </c>
      <c r="V106" s="11">
        <v>21</v>
      </c>
      <c r="W106" s="1">
        <v>22</v>
      </c>
    </row>
    <row r="107" spans="1:23" x14ac:dyDescent="0.25">
      <c r="A107" s="2" t="s">
        <v>48</v>
      </c>
      <c r="B107" s="3">
        <v>1</v>
      </c>
      <c r="C107" s="3">
        <v>2</v>
      </c>
      <c r="D107" s="3">
        <v>2</v>
      </c>
      <c r="E107" s="3">
        <v>3</v>
      </c>
      <c r="F107" s="3">
        <v>3</v>
      </c>
      <c r="G107" s="3">
        <v>4</v>
      </c>
      <c r="H107" s="3">
        <v>4</v>
      </c>
      <c r="I107" s="3">
        <v>1</v>
      </c>
      <c r="J107" s="3">
        <v>1</v>
      </c>
      <c r="K107" s="3">
        <v>3</v>
      </c>
      <c r="L107" s="3">
        <v>3</v>
      </c>
      <c r="M107" s="3">
        <v>3</v>
      </c>
      <c r="N107" s="3">
        <v>4</v>
      </c>
      <c r="O107" s="3">
        <v>4</v>
      </c>
      <c r="P107" s="3">
        <v>4</v>
      </c>
      <c r="Q107" s="3">
        <v>5</v>
      </c>
      <c r="R107" s="3">
        <v>5</v>
      </c>
      <c r="S107" s="3">
        <v>5</v>
      </c>
      <c r="T107" s="3">
        <v>4</v>
      </c>
      <c r="U107" s="3">
        <v>4</v>
      </c>
      <c r="V107" s="3">
        <v>4</v>
      </c>
      <c r="W107" s="3">
        <v>3</v>
      </c>
    </row>
    <row r="108" spans="1:23" x14ac:dyDescent="0.25">
      <c r="A108" s="2" t="s">
        <v>49</v>
      </c>
      <c r="B108">
        <v>292</v>
      </c>
      <c r="C108">
        <v>536</v>
      </c>
      <c r="D108" s="4">
        <v>536</v>
      </c>
      <c r="E108" s="4">
        <v>768</v>
      </c>
      <c r="F108" s="4">
        <v>768</v>
      </c>
      <c r="G108" s="4">
        <v>975</v>
      </c>
      <c r="H108" s="4">
        <v>975</v>
      </c>
      <c r="I108" s="4">
        <v>292</v>
      </c>
      <c r="J108" s="4">
        <v>292</v>
      </c>
      <c r="K108" s="4">
        <v>768</v>
      </c>
      <c r="L108" s="4">
        <v>768</v>
      </c>
      <c r="M108" s="4">
        <v>768</v>
      </c>
      <c r="N108" s="4">
        <v>975</v>
      </c>
      <c r="O108" s="4">
        <v>975</v>
      </c>
      <c r="P108" s="4">
        <v>975</v>
      </c>
      <c r="Q108" s="4">
        <v>1158</v>
      </c>
      <c r="R108" s="4">
        <v>1158</v>
      </c>
      <c r="S108" s="4">
        <v>1158</v>
      </c>
      <c r="T108" s="4">
        <v>975</v>
      </c>
      <c r="U108" s="4">
        <v>975</v>
      </c>
      <c r="V108" s="4">
        <v>975</v>
      </c>
      <c r="W108" s="4">
        <v>768</v>
      </c>
    </row>
    <row r="109" spans="1:23" x14ac:dyDescent="0.25">
      <c r="A109" s="2" t="s">
        <v>50</v>
      </c>
      <c r="B109" s="6">
        <f t="shared" ref="B109:W109" si="61">+B6/12</f>
        <v>2083.3333333333335</v>
      </c>
      <c r="C109" s="6">
        <f t="shared" si="61"/>
        <v>2083.3333333333335</v>
      </c>
      <c r="D109" s="6">
        <f t="shared" si="61"/>
        <v>1250</v>
      </c>
      <c r="E109" s="6">
        <f t="shared" si="61"/>
        <v>2083.3333333333335</v>
      </c>
      <c r="F109" s="6">
        <f t="shared" si="61"/>
        <v>1250</v>
      </c>
      <c r="G109" s="6">
        <f t="shared" si="61"/>
        <v>2083.3333333333335</v>
      </c>
      <c r="H109" s="6">
        <f t="shared" si="61"/>
        <v>1250</v>
      </c>
      <c r="I109" s="6">
        <f t="shared" si="61"/>
        <v>2500</v>
      </c>
      <c r="J109" s="6">
        <f t="shared" si="61"/>
        <v>3333.3333333333335</v>
      </c>
      <c r="K109" s="6">
        <f t="shared" si="61"/>
        <v>2916.6666666666665</v>
      </c>
      <c r="L109" s="6">
        <f t="shared" si="61"/>
        <v>3750</v>
      </c>
      <c r="M109" s="6">
        <f t="shared" si="61"/>
        <v>4583.333333333333</v>
      </c>
      <c r="N109" s="6">
        <f t="shared" si="61"/>
        <v>3750</v>
      </c>
      <c r="O109" s="6">
        <f t="shared" si="61"/>
        <v>2916.6666666666665</v>
      </c>
      <c r="P109" s="6">
        <f t="shared" si="61"/>
        <v>4583.333333333333</v>
      </c>
      <c r="Q109" s="6">
        <f t="shared" si="61"/>
        <v>3750</v>
      </c>
      <c r="R109" s="6">
        <f t="shared" si="61"/>
        <v>2916.6666666666665</v>
      </c>
      <c r="S109" s="6">
        <f t="shared" si="61"/>
        <v>4583.333333333333</v>
      </c>
      <c r="T109" s="6">
        <f t="shared" si="61"/>
        <v>2916.6666666666665</v>
      </c>
      <c r="U109" s="6">
        <f t="shared" si="61"/>
        <v>3750</v>
      </c>
      <c r="V109" s="6">
        <f t="shared" si="61"/>
        <v>4583.333333333333</v>
      </c>
      <c r="W109" s="6">
        <f t="shared" si="61"/>
        <v>2666.6666666666665</v>
      </c>
    </row>
    <row r="110" spans="1:23" x14ac:dyDescent="0.25">
      <c r="A110" s="2" t="s">
        <v>64</v>
      </c>
      <c r="B110" s="6">
        <v>1883</v>
      </c>
      <c r="C110" s="6">
        <v>2556</v>
      </c>
      <c r="D110" s="6">
        <v>2556</v>
      </c>
      <c r="E110" s="6">
        <v>3228</v>
      </c>
      <c r="F110" s="6">
        <v>3228</v>
      </c>
      <c r="G110" s="6">
        <v>3900</v>
      </c>
      <c r="H110" s="6">
        <v>3900</v>
      </c>
      <c r="I110" s="6">
        <v>1883</v>
      </c>
      <c r="J110" s="6">
        <v>1883</v>
      </c>
      <c r="K110" s="6">
        <v>3228</v>
      </c>
      <c r="L110" s="6">
        <v>3228</v>
      </c>
      <c r="M110" s="6">
        <v>3228</v>
      </c>
      <c r="N110" s="6">
        <v>3900</v>
      </c>
      <c r="O110" s="6">
        <v>3900</v>
      </c>
      <c r="P110" s="6">
        <v>3900</v>
      </c>
      <c r="Q110" s="6">
        <v>4573</v>
      </c>
      <c r="R110" s="6">
        <v>4573</v>
      </c>
      <c r="S110" s="6">
        <v>4573</v>
      </c>
      <c r="T110" s="6">
        <v>3900</v>
      </c>
      <c r="U110" s="6">
        <v>3900</v>
      </c>
      <c r="V110" s="6">
        <v>3900</v>
      </c>
      <c r="W110" s="6">
        <v>3228</v>
      </c>
    </row>
    <row r="111" spans="1:23" x14ac:dyDescent="0.25">
      <c r="A111" s="2" t="s">
        <v>58</v>
      </c>
      <c r="B111" s="14" t="s">
        <v>61</v>
      </c>
      <c r="C111" s="14" t="s">
        <v>62</v>
      </c>
      <c r="D111" s="14" t="s">
        <v>62</v>
      </c>
      <c r="E111" s="14" t="s">
        <v>62</v>
      </c>
      <c r="F111" s="14" t="s">
        <v>62</v>
      </c>
      <c r="G111" s="14" t="s">
        <v>62</v>
      </c>
      <c r="H111" s="14" t="s">
        <v>62</v>
      </c>
      <c r="I111" s="14" t="s">
        <v>61</v>
      </c>
      <c r="J111" s="14" t="s">
        <v>61</v>
      </c>
      <c r="K111" s="14" t="s">
        <v>63</v>
      </c>
      <c r="L111" s="14" t="s">
        <v>61</v>
      </c>
      <c r="M111" s="14" t="s">
        <v>61</v>
      </c>
      <c r="N111" s="14" t="s">
        <v>63</v>
      </c>
      <c r="O111" s="14" t="s">
        <v>63</v>
      </c>
      <c r="P111" s="14" t="s">
        <v>61</v>
      </c>
      <c r="Q111" s="14" t="s">
        <v>63</v>
      </c>
      <c r="R111" s="14" t="s">
        <v>63</v>
      </c>
      <c r="S111" s="14" t="s">
        <v>61</v>
      </c>
      <c r="T111" s="14" t="s">
        <v>63</v>
      </c>
      <c r="U111" s="14" t="s">
        <v>63</v>
      </c>
      <c r="V111" s="14" t="s">
        <v>61</v>
      </c>
      <c r="W111" s="3" t="s">
        <v>63</v>
      </c>
    </row>
    <row r="112" spans="1:23" x14ac:dyDescent="0.25">
      <c r="A112" s="2" t="s">
        <v>51</v>
      </c>
      <c r="C112">
        <v>204</v>
      </c>
      <c r="D112" s="4">
        <v>204</v>
      </c>
      <c r="E112" s="4">
        <v>204</v>
      </c>
      <c r="F112">
        <v>204</v>
      </c>
      <c r="G112">
        <v>217</v>
      </c>
      <c r="H112">
        <v>217</v>
      </c>
      <c r="K112">
        <v>217</v>
      </c>
      <c r="N112">
        <v>217</v>
      </c>
      <c r="O112">
        <v>217</v>
      </c>
      <c r="Q112">
        <v>254</v>
      </c>
      <c r="R112">
        <v>254</v>
      </c>
      <c r="T112">
        <v>217</v>
      </c>
      <c r="U112">
        <v>217</v>
      </c>
      <c r="W112" s="4">
        <v>204</v>
      </c>
    </row>
    <row r="113" spans="1:23" x14ac:dyDescent="0.25">
      <c r="A113" s="2" t="s">
        <v>52</v>
      </c>
      <c r="B113" s="6"/>
      <c r="C113" s="6">
        <f t="shared" ref="C113:H113" si="62">+C109*0.2</f>
        <v>416.66666666666674</v>
      </c>
      <c r="D113" s="6">
        <f t="shared" si="62"/>
        <v>250</v>
      </c>
      <c r="E113" s="6">
        <f t="shared" si="62"/>
        <v>416.66666666666674</v>
      </c>
      <c r="F113" s="6">
        <f t="shared" si="62"/>
        <v>250</v>
      </c>
      <c r="G113" s="6">
        <f t="shared" si="62"/>
        <v>416.66666666666674</v>
      </c>
      <c r="H113" s="6">
        <f t="shared" si="62"/>
        <v>250</v>
      </c>
      <c r="I113" s="6"/>
      <c r="J113" s="6"/>
      <c r="K113" s="6">
        <f t="shared" ref="K113" si="63">+K109*0.2</f>
        <v>583.33333333333337</v>
      </c>
      <c r="L113" s="6"/>
      <c r="M113" s="6"/>
      <c r="N113" s="6">
        <f t="shared" ref="N113" si="64">+N109*0.2</f>
        <v>750</v>
      </c>
      <c r="O113" s="6">
        <f t="shared" ref="O113" si="65">+O109*0.2</f>
        <v>583.33333333333337</v>
      </c>
      <c r="P113" s="6"/>
      <c r="Q113" s="6">
        <f t="shared" ref="Q113:R113" si="66">+Q109*0.2</f>
        <v>750</v>
      </c>
      <c r="R113" s="6">
        <f t="shared" si="66"/>
        <v>583.33333333333337</v>
      </c>
      <c r="S113" s="6"/>
      <c r="T113" s="6">
        <f t="shared" ref="T113:U113" si="67">+T109*0.2</f>
        <v>583.33333333333337</v>
      </c>
      <c r="U113" s="6">
        <f t="shared" si="67"/>
        <v>750</v>
      </c>
      <c r="W113" s="6">
        <f t="shared" ref="W113" si="68">+W109*0.2</f>
        <v>533.33333333333337</v>
      </c>
    </row>
    <row r="114" spans="1:23" x14ac:dyDescent="0.25">
      <c r="A114" s="2" t="s">
        <v>70</v>
      </c>
      <c r="B114" s="6"/>
      <c r="C114" s="6">
        <f>+C109-C112-C113</f>
        <v>1462.6666666666667</v>
      </c>
      <c r="D114" s="6">
        <f t="shared" ref="D114:H114" si="69">+D109-D112-D113</f>
        <v>796</v>
      </c>
      <c r="E114" s="6">
        <f t="shared" si="69"/>
        <v>1462.6666666666667</v>
      </c>
      <c r="F114" s="6">
        <f t="shared" si="69"/>
        <v>796</v>
      </c>
      <c r="G114" s="6">
        <f t="shared" si="69"/>
        <v>1449.6666666666667</v>
      </c>
      <c r="H114" s="6">
        <f t="shared" si="69"/>
        <v>783</v>
      </c>
      <c r="I114" s="6"/>
      <c r="J114" s="6"/>
      <c r="K114" s="6">
        <f t="shared" ref="K114" si="70">+K109-K112-K113</f>
        <v>2116.333333333333</v>
      </c>
      <c r="L114" s="6"/>
      <c r="M114" s="6"/>
      <c r="N114" s="6">
        <f t="shared" ref="N114" si="71">+N109-N112-N113</f>
        <v>2783</v>
      </c>
      <c r="O114" s="6">
        <f>+O109-O112-O113</f>
        <v>2116.333333333333</v>
      </c>
      <c r="P114" s="6"/>
      <c r="Q114" s="6">
        <f t="shared" ref="Q114:R114" si="72">+Q109-Q112-Q113</f>
        <v>2746</v>
      </c>
      <c r="R114" s="6">
        <f t="shared" si="72"/>
        <v>2079.333333333333</v>
      </c>
      <c r="S114" s="6"/>
      <c r="T114" s="6">
        <f>+T109-T112-T113</f>
        <v>2116.333333333333</v>
      </c>
      <c r="U114" s="6">
        <f t="shared" ref="U114" si="73">+U109-U112-U113</f>
        <v>2783</v>
      </c>
      <c r="W114" s="6">
        <f>+W109-W112-W113</f>
        <v>1929.333333333333</v>
      </c>
    </row>
    <row r="115" spans="1:23" x14ac:dyDescent="0.25">
      <c r="A115" s="2" t="s">
        <v>53</v>
      </c>
      <c r="C115">
        <f>+C139</f>
        <v>440</v>
      </c>
      <c r="D115">
        <f t="shared" ref="D115:H115" si="74">+D139</f>
        <v>712</v>
      </c>
      <c r="E115">
        <f t="shared" si="74"/>
        <v>431</v>
      </c>
      <c r="F115">
        <f t="shared" si="74"/>
        <v>712</v>
      </c>
      <c r="G115">
        <f t="shared" si="74"/>
        <v>438</v>
      </c>
      <c r="H115">
        <f t="shared" si="74"/>
        <v>712</v>
      </c>
      <c r="K115">
        <f t="shared" ref="K115" si="75">+K139</f>
        <v>113</v>
      </c>
      <c r="N115">
        <f t="shared" ref="N115" si="76">+N139</f>
        <v>54</v>
      </c>
      <c r="O115">
        <f>+O139</f>
        <v>388</v>
      </c>
      <c r="Q115" s="6">
        <f t="shared" ref="Q115:R115" si="77">+Q139</f>
        <v>72.833333333333258</v>
      </c>
      <c r="R115" s="6">
        <f t="shared" si="77"/>
        <v>397.83333333333348</v>
      </c>
      <c r="T115" s="6">
        <f t="shared" ref="T115:U115" si="78">+T139</f>
        <v>387.66666666666674</v>
      </c>
      <c r="U115">
        <f t="shared" si="78"/>
        <v>54</v>
      </c>
      <c r="W115" s="6">
        <f t="shared" ref="W115" si="79">+W139</f>
        <v>206.16666666666674</v>
      </c>
    </row>
    <row r="116" spans="1:23" x14ac:dyDescent="0.25">
      <c r="A116" s="2" t="s">
        <v>54</v>
      </c>
      <c r="C116" s="6">
        <f>+C114-C115</f>
        <v>1022.6666666666667</v>
      </c>
      <c r="D116" s="6">
        <f t="shared" ref="D116:H116" si="80">+D114-D115</f>
        <v>84</v>
      </c>
      <c r="E116" s="6">
        <f t="shared" si="80"/>
        <v>1031.6666666666667</v>
      </c>
      <c r="F116" s="6">
        <f t="shared" si="80"/>
        <v>84</v>
      </c>
      <c r="G116" s="6">
        <f t="shared" si="80"/>
        <v>1011.6666666666667</v>
      </c>
      <c r="H116" s="6">
        <f t="shared" si="80"/>
        <v>71</v>
      </c>
      <c r="K116" s="6">
        <f>+K114-K115</f>
        <v>2003.333333333333</v>
      </c>
      <c r="N116" s="6">
        <f>+N114-N115</f>
        <v>2729</v>
      </c>
      <c r="O116" s="6">
        <f>+O114-O115</f>
        <v>1728.333333333333</v>
      </c>
      <c r="Q116" s="6">
        <f t="shared" ref="Q116:R116" si="81">+Q114-Q115</f>
        <v>2673.166666666667</v>
      </c>
      <c r="R116" s="6">
        <f t="shared" si="81"/>
        <v>1681.4999999999995</v>
      </c>
      <c r="T116" s="6">
        <f t="shared" ref="T116" si="82">+T114-T115</f>
        <v>1728.6666666666663</v>
      </c>
      <c r="U116" s="6">
        <f>+U114-U115</f>
        <v>2729</v>
      </c>
      <c r="W116" s="6">
        <f t="shared" ref="W116" si="83">+W114-W115</f>
        <v>1723.1666666666663</v>
      </c>
    </row>
    <row r="117" spans="1:23" x14ac:dyDescent="0.25">
      <c r="A117" s="2" t="s">
        <v>95</v>
      </c>
      <c r="C117" s="6">
        <v>1704</v>
      </c>
      <c r="D117" s="6">
        <v>1704</v>
      </c>
      <c r="E117" s="6">
        <v>2152</v>
      </c>
      <c r="F117" s="6">
        <v>2152</v>
      </c>
      <c r="G117" s="6">
        <v>2600</v>
      </c>
      <c r="H117" s="6">
        <v>2600</v>
      </c>
      <c r="K117" s="6">
        <v>2152</v>
      </c>
      <c r="N117">
        <v>2600</v>
      </c>
      <c r="O117" s="6">
        <v>2600</v>
      </c>
      <c r="Q117" s="6">
        <v>3049</v>
      </c>
      <c r="R117" s="6">
        <v>3049</v>
      </c>
      <c r="T117" s="6">
        <v>2600</v>
      </c>
      <c r="U117" s="6">
        <v>2600</v>
      </c>
      <c r="W117" s="6">
        <v>2152</v>
      </c>
    </row>
    <row r="118" spans="1:23" x14ac:dyDescent="0.25">
      <c r="A118" s="2" t="s">
        <v>96</v>
      </c>
      <c r="C118" s="6">
        <f>+C117*1.2</f>
        <v>2044.8</v>
      </c>
      <c r="D118" s="6">
        <f t="shared" ref="D118:W118" si="84">+D117*1.2</f>
        <v>2044.8</v>
      </c>
      <c r="E118" s="6">
        <f t="shared" si="84"/>
        <v>2582.4</v>
      </c>
      <c r="F118" s="6">
        <f t="shared" si="84"/>
        <v>2582.4</v>
      </c>
      <c r="G118" s="6">
        <f t="shared" si="84"/>
        <v>3120</v>
      </c>
      <c r="H118" s="6">
        <f t="shared" si="84"/>
        <v>3120</v>
      </c>
      <c r="I118" s="6"/>
      <c r="J118" s="6"/>
      <c r="K118" s="6">
        <f t="shared" si="84"/>
        <v>2582.4</v>
      </c>
      <c r="L118" s="6"/>
      <c r="M118" s="6"/>
      <c r="N118" s="6">
        <f t="shared" si="84"/>
        <v>3120</v>
      </c>
      <c r="O118" s="6">
        <f t="shared" si="84"/>
        <v>3120</v>
      </c>
      <c r="P118" s="6"/>
      <c r="Q118" s="6">
        <f t="shared" si="84"/>
        <v>3658.7999999999997</v>
      </c>
      <c r="R118" s="6">
        <f t="shared" si="84"/>
        <v>3658.7999999999997</v>
      </c>
      <c r="S118" s="6"/>
      <c r="T118" s="6">
        <f t="shared" si="84"/>
        <v>3120</v>
      </c>
      <c r="U118" s="6">
        <f t="shared" si="84"/>
        <v>3120</v>
      </c>
      <c r="V118" s="6"/>
      <c r="W118" s="6">
        <f t="shared" si="84"/>
        <v>2582.4</v>
      </c>
    </row>
    <row r="119" spans="1:23" x14ac:dyDescent="0.25">
      <c r="A119" s="2" t="s">
        <v>59</v>
      </c>
      <c r="C119" s="3" t="s">
        <v>62</v>
      </c>
      <c r="D119" s="3" t="s">
        <v>62</v>
      </c>
      <c r="E119" s="3" t="s">
        <v>62</v>
      </c>
      <c r="F119" s="3" t="s">
        <v>62</v>
      </c>
      <c r="G119" s="3" t="s">
        <v>62</v>
      </c>
      <c r="H119" s="3" t="s">
        <v>62</v>
      </c>
      <c r="I119" s="3"/>
      <c r="J119" s="3"/>
      <c r="K119" s="3" t="s">
        <v>63</v>
      </c>
      <c r="L119" s="3"/>
      <c r="M119" s="3"/>
      <c r="N119" s="3" t="s">
        <v>63</v>
      </c>
      <c r="O119" s="3" t="s">
        <v>63</v>
      </c>
      <c r="Q119" s="3" t="s">
        <v>63</v>
      </c>
      <c r="R119" s="3" t="s">
        <v>63</v>
      </c>
      <c r="T119" s="3" t="s">
        <v>63</v>
      </c>
      <c r="U119" s="3" t="s">
        <v>63</v>
      </c>
      <c r="W119" s="3" t="s">
        <v>63</v>
      </c>
    </row>
    <row r="120" spans="1:23" x14ac:dyDescent="0.25">
      <c r="A120" s="2" t="s">
        <v>97</v>
      </c>
      <c r="C120" s="12">
        <f>+C117*0.8</f>
        <v>1363.2</v>
      </c>
      <c r="D120" s="12">
        <f t="shared" ref="D120:H120" si="85">+D117*0.8</f>
        <v>1363.2</v>
      </c>
      <c r="E120" s="12">
        <f t="shared" si="85"/>
        <v>1721.6000000000001</v>
      </c>
      <c r="F120" s="12">
        <f t="shared" si="85"/>
        <v>1721.6000000000001</v>
      </c>
      <c r="G120" s="12">
        <f t="shared" si="85"/>
        <v>2080</v>
      </c>
      <c r="H120" s="12">
        <f t="shared" si="85"/>
        <v>2080</v>
      </c>
      <c r="I120" s="3"/>
      <c r="J120" s="3"/>
      <c r="K120" s="12">
        <f t="shared" ref="K120" si="86">+K117*0.8</f>
        <v>1721.6000000000001</v>
      </c>
      <c r="L120" s="3"/>
      <c r="M120" s="3"/>
      <c r="N120" s="12">
        <f t="shared" ref="N120" si="87">+N117*0.8</f>
        <v>2080</v>
      </c>
      <c r="O120" s="12">
        <f>+O117*0.8</f>
        <v>2080</v>
      </c>
      <c r="Q120" s="12">
        <f>+Q117*0.8</f>
        <v>2439.2000000000003</v>
      </c>
      <c r="R120" s="12">
        <f>+R117*0.8</f>
        <v>2439.2000000000003</v>
      </c>
      <c r="T120" s="12">
        <f>+T117*0.8</f>
        <v>2080</v>
      </c>
      <c r="U120" s="12">
        <f t="shared" ref="U120" si="88">+U117*0.8</f>
        <v>2080</v>
      </c>
      <c r="W120" s="12">
        <f>+W117*0.8</f>
        <v>1721.6000000000001</v>
      </c>
    </row>
    <row r="121" spans="1:23" x14ac:dyDescent="0.25">
      <c r="A121" s="2" t="s">
        <v>98</v>
      </c>
      <c r="C121" s="12" t="s">
        <v>61</v>
      </c>
      <c r="D121" s="12" t="s">
        <v>61</v>
      </c>
      <c r="E121" s="12" t="s">
        <v>61</v>
      </c>
      <c r="F121" s="12" t="s">
        <v>61</v>
      </c>
      <c r="G121" s="12" t="s">
        <v>61</v>
      </c>
      <c r="H121" s="12" t="s">
        <v>61</v>
      </c>
      <c r="I121" s="3"/>
      <c r="J121" s="3"/>
      <c r="K121" s="3" t="s">
        <v>63</v>
      </c>
      <c r="L121" s="3"/>
      <c r="M121" s="3"/>
      <c r="N121" s="3" t="s">
        <v>63</v>
      </c>
      <c r="O121" s="12" t="s">
        <v>61</v>
      </c>
      <c r="Q121" s="12" t="s">
        <v>61</v>
      </c>
      <c r="R121" s="12" t="s">
        <v>61</v>
      </c>
      <c r="T121" s="12" t="s">
        <v>61</v>
      </c>
      <c r="U121" s="12" t="s">
        <v>63</v>
      </c>
      <c r="W121" s="12" t="s">
        <v>63</v>
      </c>
    </row>
    <row r="122" spans="1:23" x14ac:dyDescent="0.25">
      <c r="A122" s="2" t="s">
        <v>60</v>
      </c>
      <c r="C122" s="6">
        <f t="shared" ref="C122:H122" si="89">+C116*0.3</f>
        <v>306.8</v>
      </c>
      <c r="D122" s="6">
        <f t="shared" si="89"/>
        <v>25.2</v>
      </c>
      <c r="E122" s="6">
        <f t="shared" si="89"/>
        <v>309.5</v>
      </c>
      <c r="F122" s="6">
        <f t="shared" si="89"/>
        <v>25.2</v>
      </c>
      <c r="G122" s="6">
        <f t="shared" si="89"/>
        <v>303.5</v>
      </c>
      <c r="H122" s="6">
        <f t="shared" si="89"/>
        <v>21.3</v>
      </c>
      <c r="K122" s="6">
        <f t="shared" ref="K122" si="90">+K116*0.3</f>
        <v>600.99999999999989</v>
      </c>
      <c r="N122" s="6">
        <f t="shared" ref="N122" si="91">+N116*0.3</f>
        <v>818.69999999999993</v>
      </c>
      <c r="O122" s="6">
        <f>+O116*0.3</f>
        <v>518.49999999999989</v>
      </c>
      <c r="Q122" s="6">
        <f>+Q116*0.3</f>
        <v>801.95</v>
      </c>
      <c r="R122" s="6">
        <f>+R116*0.3</f>
        <v>504.44999999999982</v>
      </c>
      <c r="T122" s="6">
        <f>+T116*0.3</f>
        <v>518.59999999999991</v>
      </c>
      <c r="U122" s="6">
        <f t="shared" ref="U122" si="92">+U116*0.3</f>
        <v>818.69999999999993</v>
      </c>
      <c r="W122" s="6">
        <f>+W116*0.3</f>
        <v>516.94999999999982</v>
      </c>
    </row>
    <row r="123" spans="1:23" x14ac:dyDescent="0.25">
      <c r="A123" s="2" t="s">
        <v>56</v>
      </c>
      <c r="C123" s="6">
        <f t="shared" ref="C123:H123" si="93">+C108-C122</f>
        <v>229.2</v>
      </c>
      <c r="D123" s="6">
        <f t="shared" si="93"/>
        <v>510.8</v>
      </c>
      <c r="E123" s="6">
        <f t="shared" si="93"/>
        <v>458.5</v>
      </c>
      <c r="F123" s="6">
        <f t="shared" si="93"/>
        <v>742.8</v>
      </c>
      <c r="G123" s="6">
        <f t="shared" si="93"/>
        <v>671.5</v>
      </c>
      <c r="H123" s="6">
        <f t="shared" si="93"/>
        <v>953.7</v>
      </c>
      <c r="K123" s="6">
        <f t="shared" ref="K123" si="94">+K108-K122</f>
        <v>167.00000000000011</v>
      </c>
      <c r="N123" s="6">
        <f t="shared" ref="N123" si="95">+N108-N122</f>
        <v>156.30000000000007</v>
      </c>
      <c r="O123" s="6">
        <f>+O108-O122</f>
        <v>456.50000000000011</v>
      </c>
      <c r="Q123" s="6">
        <f>+Q108-Q122</f>
        <v>356.04999999999995</v>
      </c>
      <c r="R123" s="6">
        <f>+R108-R122</f>
        <v>653.55000000000018</v>
      </c>
      <c r="T123" s="6">
        <f>+T108-T122</f>
        <v>456.40000000000009</v>
      </c>
      <c r="U123" s="6">
        <f t="shared" ref="U123" si="96">+U108-U122</f>
        <v>156.30000000000007</v>
      </c>
      <c r="W123" s="6">
        <f>+W108-W122</f>
        <v>251.05000000000018</v>
      </c>
    </row>
    <row r="124" spans="1:23" x14ac:dyDescent="0.25">
      <c r="A124" s="2" t="s">
        <v>57</v>
      </c>
      <c r="C124" s="6">
        <f>+C123*12</f>
        <v>2750.3999999999996</v>
      </c>
      <c r="D124" s="6">
        <f t="shared" ref="D124:H124" si="97">+D123*12</f>
        <v>6129.6</v>
      </c>
      <c r="E124" s="6">
        <f t="shared" si="97"/>
        <v>5502</v>
      </c>
      <c r="F124" s="6">
        <f t="shared" si="97"/>
        <v>8913.5999999999985</v>
      </c>
      <c r="G124" s="6">
        <f t="shared" si="97"/>
        <v>8058</v>
      </c>
      <c r="H124">
        <f t="shared" si="97"/>
        <v>11444.400000000001</v>
      </c>
      <c r="K124">
        <f t="shared" ref="K124" si="98">+K123*12</f>
        <v>2004.0000000000014</v>
      </c>
      <c r="N124" s="6">
        <f t="shared" ref="N124" si="99">+N123*12</f>
        <v>1875.6000000000008</v>
      </c>
      <c r="O124" s="6">
        <f>+O123*12</f>
        <v>5478.0000000000018</v>
      </c>
      <c r="Q124" s="6">
        <f t="shared" ref="Q124" si="100">+Q123*12</f>
        <v>4272.5999999999995</v>
      </c>
      <c r="R124" s="6">
        <f t="shared" ref="R124" si="101">+R123*12</f>
        <v>7842.6000000000022</v>
      </c>
      <c r="T124" s="6">
        <f t="shared" ref="T124:U124" si="102">+T123*12</f>
        <v>5476.8000000000011</v>
      </c>
      <c r="U124">
        <f t="shared" si="102"/>
        <v>1875.6000000000008</v>
      </c>
      <c r="W124" s="6">
        <f t="shared" ref="W124" si="103">+W123*12</f>
        <v>3012.6000000000022</v>
      </c>
    </row>
    <row r="125" spans="1:23" x14ac:dyDescent="0.25">
      <c r="A125" s="2" t="s">
        <v>102</v>
      </c>
      <c r="D125" s="3"/>
      <c r="E125" s="3"/>
      <c r="K125" s="6">
        <f>-(K124*0.35)</f>
        <v>-701.40000000000043</v>
      </c>
      <c r="N125">
        <f>-(N124*0.625)</f>
        <v>-1172.2500000000005</v>
      </c>
      <c r="U125">
        <f>-(U124*0.625)</f>
        <v>-1172.2500000000005</v>
      </c>
      <c r="W125" s="6">
        <f>-(W124*0.025)</f>
        <v>-75.315000000000055</v>
      </c>
    </row>
    <row r="126" spans="1:23" x14ac:dyDescent="0.25">
      <c r="A126" s="2" t="s">
        <v>103</v>
      </c>
      <c r="D126" s="3"/>
      <c r="E126" s="3"/>
      <c r="K126" s="6">
        <f>+K124+K125</f>
        <v>1302.6000000000008</v>
      </c>
      <c r="N126" s="6">
        <f>+N124+N125</f>
        <v>703.35000000000036</v>
      </c>
      <c r="U126" s="6">
        <f>+U124+U125</f>
        <v>703.35000000000036</v>
      </c>
      <c r="W126" s="6">
        <f>+W124+W125</f>
        <v>2937.2850000000021</v>
      </c>
    </row>
    <row r="127" spans="1:23" x14ac:dyDescent="0.25">
      <c r="A127" s="2"/>
      <c r="D127" s="3"/>
      <c r="E127" s="3"/>
    </row>
    <row r="128" spans="1:23" x14ac:dyDescent="0.25">
      <c r="A128" s="2" t="s">
        <v>55</v>
      </c>
      <c r="D128" s="3"/>
      <c r="E128" s="3"/>
    </row>
    <row r="129" spans="1:23" x14ac:dyDescent="0.25">
      <c r="A129" s="2" t="s">
        <v>65</v>
      </c>
      <c r="D129" s="3"/>
      <c r="E129" s="3"/>
    </row>
    <row r="130" spans="1:23" x14ac:dyDescent="0.25">
      <c r="A130" s="2" t="s">
        <v>66</v>
      </c>
      <c r="C130">
        <f t="shared" ref="C130:H130" si="104">-C28/12</f>
        <v>1000</v>
      </c>
      <c r="D130">
        <f t="shared" si="104"/>
        <v>1000</v>
      </c>
      <c r="E130">
        <f t="shared" si="104"/>
        <v>1000</v>
      </c>
      <c r="F130">
        <f t="shared" si="104"/>
        <v>1000</v>
      </c>
      <c r="G130">
        <f t="shared" si="104"/>
        <v>1000</v>
      </c>
      <c r="H130">
        <f t="shared" si="104"/>
        <v>1000</v>
      </c>
      <c r="K130">
        <f t="shared" ref="K130" si="105">-K28/12</f>
        <v>1000</v>
      </c>
      <c r="N130">
        <f t="shared" ref="N130" si="106">-N28/12</f>
        <v>1250</v>
      </c>
      <c r="O130">
        <f>-O28/12</f>
        <v>1250</v>
      </c>
      <c r="Q130">
        <f>-Q28/12</f>
        <v>1250</v>
      </c>
      <c r="R130">
        <f>-R28/12</f>
        <v>1250</v>
      </c>
      <c r="T130">
        <f>-T28/12</f>
        <v>1250</v>
      </c>
      <c r="U130">
        <f t="shared" ref="U130" si="107">-U28/12</f>
        <v>1250</v>
      </c>
      <c r="W130">
        <f>-W28/12</f>
        <v>1000</v>
      </c>
    </row>
    <row r="131" spans="1:23" x14ac:dyDescent="0.25">
      <c r="A131" s="2" t="s">
        <v>67</v>
      </c>
      <c r="C131">
        <f t="shared" ref="C131:H131" si="108">-C30/12</f>
        <v>200</v>
      </c>
      <c r="D131">
        <f t="shared" si="108"/>
        <v>200</v>
      </c>
      <c r="E131">
        <f t="shared" si="108"/>
        <v>200</v>
      </c>
      <c r="F131">
        <f t="shared" si="108"/>
        <v>200</v>
      </c>
      <c r="G131">
        <f t="shared" si="108"/>
        <v>200</v>
      </c>
      <c r="H131">
        <f t="shared" si="108"/>
        <v>200</v>
      </c>
      <c r="K131">
        <f t="shared" ref="K131" si="109">-K30/12</f>
        <v>200</v>
      </c>
      <c r="N131">
        <f t="shared" ref="N131" si="110">-N30/12</f>
        <v>225</v>
      </c>
      <c r="O131">
        <f>-O30/12</f>
        <v>225</v>
      </c>
      <c r="Q131">
        <f>-Q30/12</f>
        <v>225</v>
      </c>
      <c r="R131">
        <f>-R30/12</f>
        <v>225</v>
      </c>
      <c r="T131">
        <f>-T30/12</f>
        <v>225</v>
      </c>
      <c r="U131">
        <f t="shared" ref="U131" si="111">-U30/12</f>
        <v>225</v>
      </c>
      <c r="W131">
        <f>-W30/12</f>
        <v>200</v>
      </c>
    </row>
    <row r="132" spans="1:23" x14ac:dyDescent="0.25">
      <c r="A132" s="2" t="s">
        <v>68</v>
      </c>
      <c r="C132" s="6">
        <f t="shared" ref="C132:H132" si="112">-C22/12</f>
        <v>-29.166666666666668</v>
      </c>
      <c r="D132" s="6">
        <f t="shared" si="112"/>
        <v>-37.5</v>
      </c>
      <c r="E132" s="6">
        <f t="shared" si="112"/>
        <v>-37.5</v>
      </c>
      <c r="F132" s="6">
        <f t="shared" si="112"/>
        <v>-37.5</v>
      </c>
      <c r="G132" s="6">
        <f t="shared" si="112"/>
        <v>-37.5</v>
      </c>
      <c r="H132" s="6">
        <f t="shared" si="112"/>
        <v>-37.5</v>
      </c>
      <c r="K132" s="6">
        <f t="shared" ref="K132" si="113">-K22/12</f>
        <v>-29.166666666666668</v>
      </c>
      <c r="N132" s="6">
        <f t="shared" ref="N132" si="114">-N22/12</f>
        <v>-29.166666666666668</v>
      </c>
      <c r="O132" s="6">
        <f>-O22/12</f>
        <v>-29.166666666666668</v>
      </c>
      <c r="Q132" s="6">
        <f>-Q22/12</f>
        <v>-29.166666666666668</v>
      </c>
      <c r="R132" s="6">
        <f>-R22/12</f>
        <v>-37.5</v>
      </c>
      <c r="S132" s="6"/>
      <c r="T132" s="6">
        <f>-T22/12</f>
        <v>-29.166666666666668</v>
      </c>
      <c r="U132" s="6">
        <f t="shared" ref="U132" si="115">-U22/12</f>
        <v>-29.166666666666668</v>
      </c>
      <c r="W132" s="6">
        <f>-W22/12</f>
        <v>-29.166666666666668</v>
      </c>
    </row>
    <row r="133" spans="1:23" x14ac:dyDescent="0.25">
      <c r="A133" s="2" t="s">
        <v>69</v>
      </c>
      <c r="C133" s="6">
        <f>+SUM(C130:C132)</f>
        <v>1170.8333333333333</v>
      </c>
      <c r="D133" s="6">
        <f t="shared" ref="D133:H133" si="116">+SUM(D130:D132)</f>
        <v>1162.5</v>
      </c>
      <c r="E133" s="6">
        <f t="shared" si="116"/>
        <v>1162.5</v>
      </c>
      <c r="F133" s="6">
        <f t="shared" si="116"/>
        <v>1162.5</v>
      </c>
      <c r="G133" s="6">
        <f t="shared" si="116"/>
        <v>1162.5</v>
      </c>
      <c r="H133" s="6">
        <f t="shared" si="116"/>
        <v>1162.5</v>
      </c>
      <c r="K133" s="6">
        <f t="shared" ref="K133" si="117">+SUM(K130:K132)</f>
        <v>1170.8333333333333</v>
      </c>
      <c r="N133" s="6">
        <f t="shared" ref="N133" si="118">+SUM(N130:N132)</f>
        <v>1445.8333333333333</v>
      </c>
      <c r="O133" s="6">
        <f>+SUM(O130:O132)</f>
        <v>1445.8333333333333</v>
      </c>
      <c r="Q133" s="6">
        <f>+SUM(Q130:Q132)</f>
        <v>1445.8333333333333</v>
      </c>
      <c r="R133" s="6">
        <f>+SUM(R130:R132)</f>
        <v>1437.5</v>
      </c>
      <c r="T133" s="6">
        <f>+SUM(T130:T132)</f>
        <v>1445.8333333333333</v>
      </c>
      <c r="U133" s="6">
        <f t="shared" ref="U133" si="119">+SUM(U130:U132)</f>
        <v>1445.8333333333333</v>
      </c>
      <c r="W133" s="6">
        <f>+SUM(W130:W132)</f>
        <v>1170.8333333333333</v>
      </c>
    </row>
    <row r="134" spans="1:23" x14ac:dyDescent="0.25">
      <c r="A134" s="2"/>
      <c r="B134" s="2"/>
      <c r="C134" s="2"/>
      <c r="D134" s="3"/>
      <c r="E134" s="3"/>
      <c r="F134" s="3"/>
    </row>
    <row r="135" spans="1:23" x14ac:dyDescent="0.25">
      <c r="A135" s="2" t="s">
        <v>71</v>
      </c>
      <c r="C135" s="6">
        <f t="shared" ref="C135:H135" si="120">+C114</f>
        <v>1462.6666666666667</v>
      </c>
      <c r="D135" s="6">
        <f t="shared" si="120"/>
        <v>796</v>
      </c>
      <c r="E135" s="6">
        <f t="shared" si="120"/>
        <v>1462.6666666666667</v>
      </c>
      <c r="F135" s="6">
        <f t="shared" si="120"/>
        <v>796</v>
      </c>
      <c r="G135" s="6">
        <f t="shared" si="120"/>
        <v>1449.6666666666667</v>
      </c>
      <c r="H135" s="6">
        <f t="shared" si="120"/>
        <v>783</v>
      </c>
      <c r="K135" s="6">
        <f t="shared" ref="K135" si="121">+K114</f>
        <v>2116.333333333333</v>
      </c>
      <c r="N135" s="6">
        <f t="shared" ref="N135" si="122">+N114</f>
        <v>2783</v>
      </c>
      <c r="O135" s="6">
        <f>+O114</f>
        <v>2116.333333333333</v>
      </c>
      <c r="Q135" s="6">
        <f>+Q114</f>
        <v>2746</v>
      </c>
      <c r="R135" s="6">
        <f>+R114</f>
        <v>2079.333333333333</v>
      </c>
      <c r="S135" s="6"/>
      <c r="T135" s="6">
        <f>+T114</f>
        <v>2116.333333333333</v>
      </c>
      <c r="U135" s="6">
        <f t="shared" ref="U135" si="123">+U114</f>
        <v>2783</v>
      </c>
      <c r="W135" s="6">
        <f>+W114</f>
        <v>1929.333333333333</v>
      </c>
    </row>
    <row r="136" spans="1:23" x14ac:dyDescent="0.25">
      <c r="A136" s="2" t="s">
        <v>72</v>
      </c>
      <c r="C136" s="6">
        <f>+C135/2</f>
        <v>731.33333333333337</v>
      </c>
      <c r="D136" s="6">
        <f t="shared" ref="D136:H136" si="124">+D135/2</f>
        <v>398</v>
      </c>
      <c r="E136" s="6">
        <f t="shared" si="124"/>
        <v>731.33333333333337</v>
      </c>
      <c r="F136" s="6">
        <f t="shared" si="124"/>
        <v>398</v>
      </c>
      <c r="G136" s="6">
        <f t="shared" si="124"/>
        <v>724.83333333333337</v>
      </c>
      <c r="H136" s="6">
        <f t="shared" si="124"/>
        <v>391.5</v>
      </c>
      <c r="K136" s="6">
        <f t="shared" ref="K136" si="125">+K135/2</f>
        <v>1058.1666666666665</v>
      </c>
      <c r="N136" s="6">
        <f t="shared" ref="N136" si="126">+N135/2</f>
        <v>1391.5</v>
      </c>
      <c r="O136" s="6">
        <f>+O135/2</f>
        <v>1058.1666666666665</v>
      </c>
      <c r="Q136" s="6">
        <f>+Q135/2</f>
        <v>1373</v>
      </c>
      <c r="R136" s="6">
        <f>+R135/2</f>
        <v>1039.6666666666665</v>
      </c>
      <c r="S136" s="6"/>
      <c r="T136" s="6">
        <f>+T135/2</f>
        <v>1058.1666666666665</v>
      </c>
      <c r="U136" s="6">
        <f t="shared" ref="U136" si="127">+U135/2</f>
        <v>1391.5</v>
      </c>
      <c r="W136" s="6">
        <f>+W135/2</f>
        <v>964.66666666666652</v>
      </c>
    </row>
    <row r="137" spans="1:23" x14ac:dyDescent="0.25">
      <c r="A137" s="2" t="s">
        <v>73</v>
      </c>
      <c r="C137" s="6">
        <f>+C133-C136</f>
        <v>439.49999999999989</v>
      </c>
      <c r="D137" s="6">
        <f t="shared" ref="D137:H137" si="128">+D133-D136</f>
        <v>764.5</v>
      </c>
      <c r="E137" s="6">
        <f t="shared" si="128"/>
        <v>431.16666666666663</v>
      </c>
      <c r="F137" s="6">
        <f t="shared" si="128"/>
        <v>764.5</v>
      </c>
      <c r="G137" s="6">
        <f t="shared" si="128"/>
        <v>437.66666666666663</v>
      </c>
      <c r="H137" s="6">
        <f t="shared" si="128"/>
        <v>771</v>
      </c>
      <c r="K137" s="6">
        <f t="shared" ref="K137" si="129">+K133-K136</f>
        <v>112.66666666666674</v>
      </c>
      <c r="N137" s="6">
        <f t="shared" ref="N137" si="130">+N133-N136</f>
        <v>54.333333333333258</v>
      </c>
      <c r="O137" s="6">
        <f>+O133-O136</f>
        <v>387.66666666666674</v>
      </c>
      <c r="Q137" s="6">
        <f t="shared" ref="Q137" si="131">+Q133-Q136</f>
        <v>72.833333333333258</v>
      </c>
      <c r="R137" s="6">
        <f t="shared" ref="R137" si="132">+R133-R136</f>
        <v>397.83333333333348</v>
      </c>
      <c r="S137" s="6"/>
      <c r="T137" s="6">
        <f t="shared" ref="T137:U137" si="133">+T133-T136</f>
        <v>387.66666666666674</v>
      </c>
      <c r="U137" s="6">
        <f t="shared" si="133"/>
        <v>54.333333333333258</v>
      </c>
      <c r="W137" s="6">
        <f t="shared" ref="W137" si="134">+W133-W136</f>
        <v>206.16666666666674</v>
      </c>
    </row>
    <row r="138" spans="1:23" x14ac:dyDescent="0.25">
      <c r="A138" s="2" t="s">
        <v>74</v>
      </c>
      <c r="C138">
        <v>712</v>
      </c>
      <c r="D138">
        <v>712</v>
      </c>
      <c r="E138">
        <v>712</v>
      </c>
      <c r="F138">
        <v>712</v>
      </c>
      <c r="G138">
        <v>712</v>
      </c>
      <c r="H138">
        <v>712</v>
      </c>
      <c r="K138">
        <v>712</v>
      </c>
      <c r="N138">
        <v>712</v>
      </c>
      <c r="O138">
        <v>712</v>
      </c>
      <c r="Q138">
        <v>712</v>
      </c>
      <c r="R138">
        <v>712</v>
      </c>
      <c r="T138">
        <v>712</v>
      </c>
      <c r="U138">
        <v>712</v>
      </c>
      <c r="W138">
        <v>712</v>
      </c>
    </row>
    <row r="139" spans="1:23" x14ac:dyDescent="0.25">
      <c r="A139" s="2" t="s">
        <v>75</v>
      </c>
      <c r="C139">
        <v>440</v>
      </c>
      <c r="D139">
        <v>712</v>
      </c>
      <c r="E139" s="4">
        <v>431</v>
      </c>
      <c r="F139">
        <v>712</v>
      </c>
      <c r="G139" s="4">
        <v>438</v>
      </c>
      <c r="H139">
        <v>712</v>
      </c>
      <c r="K139">
        <v>113</v>
      </c>
      <c r="N139">
        <v>54</v>
      </c>
      <c r="O139">
        <v>388</v>
      </c>
      <c r="Q139" s="6">
        <f>+Q137</f>
        <v>72.833333333333258</v>
      </c>
      <c r="R139" s="6">
        <f>+R137</f>
        <v>397.83333333333348</v>
      </c>
      <c r="T139" s="6">
        <f>+T137</f>
        <v>387.66666666666674</v>
      </c>
      <c r="U139">
        <v>54</v>
      </c>
      <c r="W139" s="6">
        <f>+W137</f>
        <v>206.16666666666674</v>
      </c>
    </row>
    <row r="140" spans="1:23" x14ac:dyDescent="0.25">
      <c r="A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23" x14ac:dyDescent="0.25">
      <c r="A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23" x14ac:dyDescent="0.25">
      <c r="A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23" x14ac:dyDescent="0.25">
      <c r="A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23" x14ac:dyDescent="0.25">
      <c r="A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x14ac:dyDescent="0.25">
      <c r="A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x14ac:dyDescent="0.25">
      <c r="A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x14ac:dyDescent="0.25">
      <c r="A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x14ac:dyDescent="0.25">
      <c r="A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x14ac:dyDescent="0.25">
      <c r="A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x14ac:dyDescent="0.25">
      <c r="A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x14ac:dyDescent="0.25">
      <c r="A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x14ac:dyDescent="0.25">
      <c r="A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x14ac:dyDescent="0.25">
      <c r="A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x14ac:dyDescent="0.25">
      <c r="A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x14ac:dyDescent="0.25">
      <c r="A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x14ac:dyDescent="0.25">
      <c r="A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x14ac:dyDescent="0.25">
      <c r="A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x14ac:dyDescent="0.25">
      <c r="A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x14ac:dyDescent="0.25">
      <c r="A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x14ac:dyDescent="0.25">
      <c r="A160" s="2"/>
      <c r="D160" s="3"/>
      <c r="E160" s="3"/>
      <c r="F160" s="4"/>
      <c r="G160" s="4"/>
      <c r="R160" s="4"/>
    </row>
    <row r="161" spans="1:18" x14ac:dyDescent="0.25">
      <c r="A161" s="2"/>
      <c r="D161" s="3"/>
      <c r="E161" s="3"/>
      <c r="F161" s="6"/>
      <c r="G161" s="6"/>
      <c r="R161" s="4"/>
    </row>
    <row r="162" spans="1:18" x14ac:dyDescent="0.25">
      <c r="A162" s="2"/>
      <c r="R162" s="4"/>
    </row>
    <row r="163" spans="1:18" x14ac:dyDescent="0.25">
      <c r="A163" s="2"/>
      <c r="R163" s="4"/>
    </row>
    <row r="164" spans="1:18" x14ac:dyDescent="0.25">
      <c r="A164" s="2"/>
    </row>
    <row r="165" spans="1:18" x14ac:dyDescent="0.25">
      <c r="A165" s="2"/>
      <c r="F165" s="6"/>
      <c r="G165" s="6"/>
    </row>
    <row r="166" spans="1:18" x14ac:dyDescent="0.25">
      <c r="A166" s="2"/>
    </row>
    <row r="167" spans="1:18" x14ac:dyDescent="0.25">
      <c r="F167" s="6"/>
      <c r="G167" s="6"/>
    </row>
  </sheetData>
  <pageMargins left="0.25" right="0.25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Allen Buckley</cp:lastModifiedBy>
  <cp:lastPrinted>2025-03-19T20:14:44Z</cp:lastPrinted>
  <dcterms:created xsi:type="dcterms:W3CDTF">2011-07-21T18:54:32Z</dcterms:created>
  <dcterms:modified xsi:type="dcterms:W3CDTF">2025-03-19T20:21:30Z</dcterms:modified>
</cp:coreProperties>
</file>